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7055" windowHeight="9165" tabRatio="721"/>
  </bookViews>
  <sheets>
    <sheet name="Frístund 12-13" sheetId="11" r:id="rId1"/>
  </sheets>
  <definedNames>
    <definedName name="_xlnm.Print_Area" localSheetId="0">'Frístund 12-13'!$A$1:$S$28</definedName>
  </definedNames>
  <calcPr calcId="145621"/>
</workbook>
</file>

<file path=xl/calcChain.xml><?xml version="1.0" encoding="utf-8"?>
<calcChain xmlns="http://schemas.openxmlformats.org/spreadsheetml/2006/main">
  <c r="O9" i="11" l="1"/>
  <c r="L9" i="11"/>
  <c r="H16" i="11"/>
  <c r="I16" i="11"/>
  <c r="I9" i="11"/>
  <c r="O13" i="11"/>
  <c r="K13" i="11"/>
  <c r="N13" i="11" s="1"/>
  <c r="L13" i="11"/>
  <c r="I12" i="11"/>
  <c r="F12" i="11"/>
  <c r="F11" i="11"/>
  <c r="I7" i="11"/>
  <c r="I6" i="11"/>
  <c r="L6" i="11" s="1"/>
  <c r="I5" i="11"/>
  <c r="I3" i="11"/>
  <c r="I2" i="11" l="1"/>
  <c r="F2" i="11"/>
  <c r="C2" i="11"/>
  <c r="H12" i="11"/>
  <c r="H11" i="11"/>
  <c r="H7" i="11"/>
  <c r="H6" i="11"/>
  <c r="H4" i="11"/>
  <c r="H3" i="11"/>
  <c r="H2" i="11"/>
  <c r="E12" i="11"/>
  <c r="E11" i="11"/>
  <c r="E2" i="11"/>
  <c r="B2" i="11"/>
  <c r="L14" i="11" l="1"/>
  <c r="O14" i="11"/>
  <c r="O5" i="11" l="1"/>
  <c r="P5" i="11" s="1"/>
  <c r="O8" i="11"/>
  <c r="P8" i="11" s="1"/>
  <c r="O10" i="11"/>
  <c r="O15" i="11"/>
  <c r="O16" i="11"/>
  <c r="L5" i="11"/>
  <c r="M5" i="11" s="1"/>
  <c r="L8" i="11"/>
  <c r="L10" i="11"/>
  <c r="L15" i="11"/>
  <c r="L16" i="11"/>
  <c r="P16" i="11"/>
  <c r="P15" i="11"/>
  <c r="P14" i="11"/>
  <c r="P13" i="11"/>
  <c r="P10" i="11"/>
  <c r="P9" i="11"/>
  <c r="I11" i="11"/>
  <c r="O7" i="11"/>
  <c r="P7" i="11" s="1"/>
  <c r="O6" i="11"/>
  <c r="P6" i="11" s="1"/>
  <c r="O4" i="11"/>
  <c r="P4" i="11" s="1"/>
  <c r="O3" i="11"/>
  <c r="P3" i="11" s="1"/>
  <c r="O12" i="11"/>
  <c r="P12" i="11" s="1"/>
  <c r="O11" i="11"/>
  <c r="P11" i="11" s="1"/>
  <c r="L2" i="11"/>
  <c r="O2" i="11"/>
  <c r="J16" i="11"/>
  <c r="G16" i="11"/>
  <c r="D16" i="11"/>
  <c r="M15" i="11"/>
  <c r="J15" i="11"/>
  <c r="G15" i="11"/>
  <c r="D15" i="11"/>
  <c r="J14" i="11"/>
  <c r="G14" i="11"/>
  <c r="D14" i="11"/>
  <c r="M13" i="11"/>
  <c r="J13" i="11"/>
  <c r="D13" i="11"/>
  <c r="J12" i="11"/>
  <c r="G12" i="11"/>
  <c r="D12" i="11"/>
  <c r="J11" i="11"/>
  <c r="G11" i="11"/>
  <c r="D11" i="11"/>
  <c r="M10" i="11"/>
  <c r="J10" i="11"/>
  <c r="G10" i="11"/>
  <c r="D10" i="11"/>
  <c r="M9" i="11"/>
  <c r="J9" i="11"/>
  <c r="G9" i="11"/>
  <c r="D9" i="11"/>
  <c r="M8" i="11"/>
  <c r="J8" i="11"/>
  <c r="D8" i="11"/>
  <c r="J7" i="11"/>
  <c r="G7" i="11"/>
  <c r="D7" i="11"/>
  <c r="M6" i="11"/>
  <c r="J6" i="11"/>
  <c r="D6" i="11"/>
  <c r="J5" i="11"/>
  <c r="G5" i="11"/>
  <c r="D5" i="11"/>
  <c r="J4" i="11"/>
  <c r="G4" i="11"/>
  <c r="D4" i="11"/>
  <c r="J3" i="11"/>
  <c r="G3" i="11"/>
  <c r="D3" i="11"/>
  <c r="J2" i="11"/>
  <c r="G2" i="11"/>
  <c r="D2" i="11"/>
  <c r="L12" i="11" l="1"/>
  <c r="M12" i="11" s="1"/>
  <c r="L7" i="11"/>
  <c r="L4" i="11"/>
  <c r="M4" i="11" s="1"/>
  <c r="L11" i="11"/>
  <c r="M11" i="11" s="1"/>
  <c r="L3" i="11"/>
  <c r="M3" i="11" s="1"/>
  <c r="P2" i="11"/>
  <c r="M14" i="11"/>
  <c r="M7" i="11"/>
  <c r="M16" i="11"/>
  <c r="M2" i="11" l="1"/>
</calcChain>
</file>

<file path=xl/sharedStrings.xml><?xml version="1.0" encoding="utf-8"?>
<sst xmlns="http://schemas.openxmlformats.org/spreadsheetml/2006/main" count="48" uniqueCount="44">
  <si>
    <t xml:space="preserve">Akraneskaupstaður </t>
  </si>
  <si>
    <t>Sveitarfélag</t>
  </si>
  <si>
    <t>Kópavogskaupstaður</t>
  </si>
  <si>
    <t>Fjarðabyggð</t>
  </si>
  <si>
    <t>Miðað er við 21 dag í fæði á mánuði</t>
  </si>
  <si>
    <t>Afsláttur er ekki af fæði</t>
  </si>
  <si>
    <t xml:space="preserve">1/ Mánaðargjald </t>
  </si>
  <si>
    <t>Dagsetning seinustu verðskráar matar eða gæslu</t>
  </si>
  <si>
    <t>3/ Hámarksgjald fyrir vistun barna á mánuði 17.449kr.</t>
  </si>
  <si>
    <t>7/ Síðdegishressing vegna 40 stunda eða lengur er 3.078 kr. og fast gjald 16.478 kr. fyrir gæslu.</t>
  </si>
  <si>
    <t xml:space="preserve">Hafnarfjarðarkaupstaður </t>
  </si>
  <si>
    <t>Breyting milli ára</t>
  </si>
  <si>
    <t>Hádegis matur 2012</t>
  </si>
  <si>
    <t>Afsláttur fyrir barn númer 2</t>
  </si>
  <si>
    <t>Afsláttur fyrir barn númer 3</t>
  </si>
  <si>
    <r>
      <t xml:space="preserve">Reykjavíkurborg </t>
    </r>
    <r>
      <rPr>
        <b/>
        <vertAlign val="superscript"/>
        <sz val="12"/>
        <rFont val="Arial"/>
        <family val="2"/>
      </rPr>
      <t>1</t>
    </r>
  </si>
  <si>
    <t>Síðdegis hressing 2012</t>
  </si>
  <si>
    <t>Kostnaður fyrir 1. barn 2012 með hressingu</t>
  </si>
  <si>
    <t>Kostnaður fyrir 1. barn 2012 með hressingu og mat</t>
  </si>
  <si>
    <t>Gæsla pr. klst 2012</t>
  </si>
  <si>
    <t>4/ Ekki er veittur systkinafsláttur af fyrstu 4 tímunum í hverri viku, enginn síðdegishressing</t>
  </si>
  <si>
    <t>Kostnaður fyrir 1. barn 2013 með hressingu</t>
  </si>
  <si>
    <t>Kostnaður fyrir 1. barn 2013 með hressingu og mat</t>
  </si>
  <si>
    <t>Hádegis matur 2013</t>
  </si>
  <si>
    <t>Síðdegis hressing 2013</t>
  </si>
  <si>
    <t>Gæsla pr. klst 2013</t>
  </si>
  <si>
    <t>9/ Skráningargjald 20 klst. 6.600 kr.</t>
  </si>
  <si>
    <r>
      <t xml:space="preserve">Akureyrarkaupstaður </t>
    </r>
    <r>
      <rPr>
        <b/>
        <vertAlign val="superscript"/>
        <sz val="12"/>
        <rFont val="Arial"/>
        <family val="2"/>
      </rPr>
      <t>9</t>
    </r>
  </si>
  <si>
    <r>
      <t xml:space="preserve">Reykjanesbær </t>
    </r>
    <r>
      <rPr>
        <b/>
        <vertAlign val="superscript"/>
        <sz val="12"/>
        <rFont val="Arial"/>
        <family val="2"/>
      </rPr>
      <t>2</t>
    </r>
  </si>
  <si>
    <r>
      <t xml:space="preserve">Mosfellsbær </t>
    </r>
    <r>
      <rPr>
        <b/>
        <vertAlign val="superscript"/>
        <sz val="12"/>
        <rFont val="Arial"/>
        <family val="2"/>
      </rPr>
      <t>4</t>
    </r>
  </si>
  <si>
    <t>6/ Heimanám kostar 430 kr. klst.</t>
  </si>
  <si>
    <r>
      <t xml:space="preserve">Garðabær </t>
    </r>
    <r>
      <rPr>
        <b/>
        <vertAlign val="superscript"/>
        <sz val="12"/>
        <rFont val="Arial"/>
        <family val="2"/>
      </rPr>
      <t>6</t>
    </r>
  </si>
  <si>
    <r>
      <t xml:space="preserve">Seltjarnarneskaupstaður </t>
    </r>
    <r>
      <rPr>
        <b/>
        <vertAlign val="superscript"/>
        <sz val="12"/>
        <rFont val="Arial"/>
        <family val="2"/>
      </rPr>
      <t>7</t>
    </r>
  </si>
  <si>
    <t>8/Verð á hádegismat fyrir 1-6 bekk</t>
  </si>
  <si>
    <r>
      <t xml:space="preserve">Vestmannaeyjar </t>
    </r>
    <r>
      <rPr>
        <b/>
        <vertAlign val="superscript"/>
        <sz val="12"/>
        <rFont val="Arial"/>
        <family val="2"/>
      </rPr>
      <t>8</t>
    </r>
  </si>
  <si>
    <t>10/Fyrstu 20 tímarnir kosta 5.710 kr.</t>
  </si>
  <si>
    <r>
      <t xml:space="preserve">Sveitafélagið Árborg </t>
    </r>
    <r>
      <rPr>
        <b/>
        <vertAlign val="superscript"/>
        <sz val="12"/>
        <rFont val="Arial"/>
        <family val="2"/>
      </rPr>
      <t>10</t>
    </r>
  </si>
  <si>
    <r>
      <t xml:space="preserve">Ísafjarðarbær </t>
    </r>
    <r>
      <rPr>
        <b/>
        <vertAlign val="superscript"/>
        <sz val="12"/>
        <rFont val="Arial"/>
        <family val="2"/>
      </rPr>
      <t>3</t>
    </r>
  </si>
  <si>
    <t>Miðað er við 63 tíma á mánuði í gæslu, 5 daga í viku</t>
  </si>
  <si>
    <t xml:space="preserve">11/Fyrstu 20 tímarnir kosta 250 kr. svo 170 kr. </t>
  </si>
  <si>
    <t>2/ Mánaðargjald, innifalinn síðdegishressing, sem kostar 115 kr.</t>
  </si>
  <si>
    <t xml:space="preserve">5/ Stök máltíð í hádegi kostar 432 kr. </t>
  </si>
  <si>
    <r>
      <t xml:space="preserve">Fljótsdalshérað </t>
    </r>
    <r>
      <rPr>
        <b/>
        <vertAlign val="superscript"/>
        <sz val="12"/>
        <rFont val="Arial"/>
        <family val="2"/>
      </rPr>
      <t>11</t>
    </r>
  </si>
  <si>
    <r>
      <t xml:space="preserve">Sveitarfélagið Skagafjörður </t>
    </r>
    <r>
      <rPr>
        <b/>
        <vertAlign val="superscript"/>
        <sz val="12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</si>
</sst>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6" xfId="0" applyFont="1" applyFill="1" applyBorder="1"/>
    <xf numFmtId="0" fontId="5" fillId="0" borderId="0" xfId="0" applyFont="1"/>
    <xf numFmtId="0" fontId="4" fillId="0" borderId="0" xfId="0" applyFont="1"/>
    <xf numFmtId="14" fontId="4" fillId="0" borderId="6" xfId="0" applyNumberFormat="1" applyFont="1" applyBorder="1"/>
    <xf numFmtId="0" fontId="7" fillId="0" borderId="2" xfId="0" applyFont="1" applyBorder="1" applyAlignment="1">
      <alignment wrapText="1"/>
    </xf>
    <xf numFmtId="9" fontId="2" fillId="0" borderId="21" xfId="2" applyFont="1" applyFill="1" applyBorder="1" applyAlignment="1">
      <alignment horizontal="center" vertical="center" wrapText="1"/>
    </xf>
    <xf numFmtId="9" fontId="2" fillId="0" borderId="18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horizontal="center"/>
    </xf>
    <xf numFmtId="9" fontId="3" fillId="2" borderId="6" xfId="1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vertical="center" wrapText="1"/>
    </xf>
    <xf numFmtId="164" fontId="3" fillId="4" borderId="7" xfId="1" applyNumberFormat="1" applyFont="1" applyFill="1" applyBorder="1" applyAlignment="1">
      <alignment horizontal="center"/>
    </xf>
    <xf numFmtId="9" fontId="3" fillId="4" borderId="6" xfId="1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vertical="center" wrapText="1"/>
    </xf>
    <xf numFmtId="9" fontId="3" fillId="5" borderId="6" xfId="1" applyNumberFormat="1" applyFont="1" applyFill="1" applyBorder="1" applyAlignment="1">
      <alignment horizontal="center"/>
    </xf>
    <xf numFmtId="164" fontId="2" fillId="5" borderId="16" xfId="1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9" fontId="3" fillId="6" borderId="8" xfId="1" applyNumberFormat="1" applyFont="1" applyFill="1" applyBorder="1" applyAlignment="1">
      <alignment horizontal="center"/>
    </xf>
    <xf numFmtId="164" fontId="2" fillId="3" borderId="16" xfId="1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/>
    </xf>
    <xf numFmtId="164" fontId="2" fillId="6" borderId="18" xfId="1" applyNumberFormat="1" applyFont="1" applyFill="1" applyBorder="1" applyAlignment="1">
      <alignment horizontal="center" vertical="center" wrapText="1"/>
    </xf>
    <xf numFmtId="164" fontId="2" fillId="5" borderId="18" xfId="1" applyNumberFormat="1" applyFont="1" applyFill="1" applyBorder="1" applyAlignment="1">
      <alignment horizontal="center" vertical="center" wrapText="1"/>
    </xf>
    <xf numFmtId="164" fontId="2" fillId="3" borderId="18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164" fontId="2" fillId="5" borderId="10" xfId="1" applyNumberFormat="1" applyFont="1" applyFill="1" applyBorder="1" applyAlignment="1">
      <alignment horizontal="center" vertical="center" wrapText="1"/>
    </xf>
    <xf numFmtId="164" fontId="2" fillId="5" borderId="11" xfId="1" applyNumberFormat="1" applyFont="1" applyFill="1" applyBorder="1" applyAlignment="1">
      <alignment horizontal="center" vertical="center" wrapText="1"/>
    </xf>
    <xf numFmtId="9" fontId="3" fillId="5" borderId="8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9" fontId="3" fillId="3" borderId="8" xfId="1" applyNumberFormat="1" applyFont="1" applyFill="1" applyBorder="1" applyAlignment="1">
      <alignment horizontal="center"/>
    </xf>
    <xf numFmtId="164" fontId="2" fillId="6" borderId="10" xfId="1" applyNumberFormat="1" applyFont="1" applyFill="1" applyBorder="1" applyAlignment="1">
      <alignment horizontal="center" vertical="center" wrapText="1"/>
    </xf>
    <xf numFmtId="9" fontId="3" fillId="2" borderId="8" xfId="1" applyNumberFormat="1" applyFont="1" applyFill="1" applyBorder="1" applyAlignment="1">
      <alignment horizontal="center"/>
    </xf>
    <xf numFmtId="9" fontId="3" fillId="4" borderId="8" xfId="1" applyNumberFormat="1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vertical="center" wrapText="1"/>
    </xf>
    <xf numFmtId="14" fontId="4" fillId="0" borderId="8" xfId="0" applyNumberFormat="1" applyFont="1" applyBorder="1"/>
    <xf numFmtId="164" fontId="2" fillId="5" borderId="19" xfId="1" applyNumberFormat="1" applyFont="1" applyFill="1" applyBorder="1" applyAlignment="1">
      <alignment horizontal="center" vertical="center" wrapText="1"/>
    </xf>
    <xf numFmtId="164" fontId="2" fillId="5" borderId="17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164" fontId="2" fillId="6" borderId="19" xfId="1" applyNumberFormat="1" applyFont="1" applyFill="1" applyBorder="1" applyAlignment="1">
      <alignment horizontal="center" vertical="center" wrapText="1"/>
    </xf>
    <xf numFmtId="9" fontId="2" fillId="0" borderId="22" xfId="2" applyFont="1" applyFill="1" applyBorder="1" applyAlignment="1">
      <alignment horizontal="center" vertical="center" wrapText="1"/>
    </xf>
    <xf numFmtId="9" fontId="2" fillId="0" borderId="19" xfId="2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0" fontId="1" fillId="0" borderId="12" xfId="0" applyFont="1" applyFill="1" applyBorder="1"/>
    <xf numFmtId="164" fontId="2" fillId="5" borderId="14" xfId="1" applyNumberFormat="1" applyFont="1" applyFill="1" applyBorder="1" applyAlignment="1">
      <alignment horizontal="center" vertical="center" wrapText="1"/>
    </xf>
    <xf numFmtId="164" fontId="2" fillId="5" borderId="15" xfId="1" applyNumberFormat="1" applyFont="1" applyFill="1" applyBorder="1" applyAlignment="1">
      <alignment horizontal="center" vertical="center" wrapText="1"/>
    </xf>
    <xf numFmtId="9" fontId="3" fillId="5" borderId="12" xfId="1" applyNumberFormat="1" applyFont="1" applyFill="1" applyBorder="1" applyAlignment="1">
      <alignment horizontal="center"/>
    </xf>
    <xf numFmtId="164" fontId="2" fillId="3" borderId="14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9" fontId="3" fillId="3" borderId="12" xfId="1" applyNumberFormat="1" applyFont="1" applyFill="1" applyBorder="1" applyAlignment="1">
      <alignment horizontal="center"/>
    </xf>
    <xf numFmtId="164" fontId="2" fillId="6" borderId="14" xfId="1" applyNumberFormat="1" applyFont="1" applyFill="1" applyBorder="1" applyAlignment="1">
      <alignment horizontal="center" vertical="center" wrapText="1"/>
    </xf>
    <xf numFmtId="9" fontId="3" fillId="6" borderId="12" xfId="1" applyNumberFormat="1" applyFont="1" applyFill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9" fontId="3" fillId="2" borderId="12" xfId="1" applyNumberFormat="1" applyFont="1" applyFill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9" fontId="3" fillId="4" borderId="12" xfId="1" applyNumberFormat="1" applyFont="1" applyFill="1" applyBorder="1" applyAlignment="1">
      <alignment horizontal="center"/>
    </xf>
    <xf numFmtId="9" fontId="2" fillId="0" borderId="13" xfId="2" applyFont="1" applyFill="1" applyBorder="1" applyAlignment="1">
      <alignment horizontal="center" vertical="center" wrapText="1"/>
    </xf>
    <xf numFmtId="9" fontId="2" fillId="0" borderId="14" xfId="2" applyFont="1" applyFill="1" applyBorder="1" applyAlignment="1">
      <alignment horizontal="center" vertical="center" wrapText="1"/>
    </xf>
    <xf numFmtId="14" fontId="4" fillId="0" borderId="12" xfId="0" applyNumberFormat="1" applyFont="1" applyBorder="1"/>
    <xf numFmtId="0" fontId="4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4" fillId="0" borderId="26" xfId="0" applyFont="1" applyBorder="1"/>
    <xf numFmtId="0" fontId="5" fillId="0" borderId="0" xfId="0" applyFont="1" applyBorder="1"/>
    <xf numFmtId="0" fontId="5" fillId="0" borderId="27" xfId="0" applyFont="1" applyBorder="1"/>
    <xf numFmtId="0" fontId="4" fillId="0" borderId="28" xfId="0" applyFont="1" applyBorder="1"/>
    <xf numFmtId="0" fontId="5" fillId="0" borderId="1" xfId="0" applyFont="1" applyBorder="1"/>
    <xf numFmtId="0" fontId="5" fillId="0" borderId="29" xfId="0" applyFont="1" applyBorder="1"/>
    <xf numFmtId="0" fontId="4" fillId="0" borderId="24" xfId="0" applyFont="1" applyBorder="1"/>
    <xf numFmtId="0" fontId="8" fillId="4" borderId="2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textRotation="90" wrapText="1"/>
    </xf>
    <xf numFmtId="0" fontId="8" fillId="3" borderId="2" xfId="0" applyFont="1" applyFill="1" applyBorder="1" applyAlignment="1">
      <alignment vertical="center" textRotation="90" wrapText="1"/>
    </xf>
    <xf numFmtId="0" fontId="8" fillId="5" borderId="2" xfId="0" applyFont="1" applyFill="1" applyBorder="1" applyAlignment="1">
      <alignment vertical="center" textRotation="90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J27" sqref="J27"/>
    </sheetView>
  </sheetViews>
  <sheetFormatPr defaultRowHeight="15" x14ac:dyDescent="0.25"/>
  <cols>
    <col min="1" max="1" width="32.7109375" customWidth="1"/>
    <col min="2" max="3" width="9.140625" customWidth="1"/>
    <col min="4" max="4" width="6.5703125" bestFit="1" customWidth="1"/>
    <col min="5" max="6" width="9.85546875" bestFit="1" customWidth="1"/>
    <col min="7" max="7" width="6.5703125" bestFit="1" customWidth="1"/>
    <col min="8" max="8" width="7.85546875" bestFit="1" customWidth="1"/>
    <col min="9" max="9" width="8" bestFit="1" customWidth="1"/>
    <col min="10" max="10" width="9.5703125" bestFit="1" customWidth="1"/>
    <col min="11" max="12" width="12.140625" customWidth="1"/>
    <col min="13" max="13" width="6.5703125" bestFit="1" customWidth="1"/>
    <col min="14" max="15" width="12.140625" customWidth="1"/>
    <col min="16" max="16" width="6.5703125" bestFit="1" customWidth="1"/>
    <col min="19" max="19" width="10.42578125" customWidth="1"/>
    <col min="20" max="20" width="11.140625" bestFit="1" customWidth="1"/>
  </cols>
  <sheetData>
    <row r="1" spans="1:20" ht="78.75" customHeight="1" thickBot="1" x14ac:dyDescent="0.3">
      <c r="A1" s="8" t="s">
        <v>1</v>
      </c>
      <c r="B1" s="18" t="s">
        <v>12</v>
      </c>
      <c r="C1" s="18" t="s">
        <v>23</v>
      </c>
      <c r="D1" s="80" t="s">
        <v>11</v>
      </c>
      <c r="E1" s="9" t="s">
        <v>16</v>
      </c>
      <c r="F1" s="9" t="s">
        <v>24</v>
      </c>
      <c r="G1" s="79" t="s">
        <v>11</v>
      </c>
      <c r="H1" s="21" t="s">
        <v>19</v>
      </c>
      <c r="I1" s="21" t="s">
        <v>25</v>
      </c>
      <c r="J1" s="22" t="s">
        <v>11</v>
      </c>
      <c r="K1" s="10" t="s">
        <v>17</v>
      </c>
      <c r="L1" s="10" t="s">
        <v>21</v>
      </c>
      <c r="M1" s="78" t="s">
        <v>11</v>
      </c>
      <c r="N1" s="15" t="s">
        <v>18</v>
      </c>
      <c r="O1" s="15" t="s">
        <v>22</v>
      </c>
      <c r="P1" s="77" t="s">
        <v>11</v>
      </c>
      <c r="Q1" s="11" t="s">
        <v>13</v>
      </c>
      <c r="R1" s="12" t="s">
        <v>14</v>
      </c>
      <c r="S1" s="5" t="s">
        <v>7</v>
      </c>
      <c r="T1" s="2"/>
    </row>
    <row r="2" spans="1:20" s="3" customFormat="1" ht="18.75" x14ac:dyDescent="0.25">
      <c r="A2" s="1" t="s">
        <v>15</v>
      </c>
      <c r="B2" s="27">
        <f>6200/21</f>
        <v>295.23809523809524</v>
      </c>
      <c r="C2" s="20">
        <f>6600/21</f>
        <v>314.28571428571428</v>
      </c>
      <c r="D2" s="19">
        <f>(C2-B2)/B2</f>
        <v>6.4516129032258021E-2</v>
      </c>
      <c r="E2" s="28">
        <f>3265/21</f>
        <v>155.47619047619048</v>
      </c>
      <c r="F2" s="24">
        <f>3450/21</f>
        <v>164.28571428571428</v>
      </c>
      <c r="G2" s="25">
        <f>(F2-E2)/E2</f>
        <v>5.6661562021439418E-2</v>
      </c>
      <c r="H2" s="26">
        <f>11300/63</f>
        <v>179.36507936507937</v>
      </c>
      <c r="I2" s="26">
        <f>11940/63</f>
        <v>189.52380952380952</v>
      </c>
      <c r="J2" s="23">
        <f>(I2-H2)/H2</f>
        <v>5.6637168141592878E-2</v>
      </c>
      <c r="K2" s="13">
        <v>14565</v>
      </c>
      <c r="L2" s="13">
        <f>F2*21+I2*63</f>
        <v>15390</v>
      </c>
      <c r="M2" s="14">
        <f>(L2-K2)/K2</f>
        <v>5.6642636457260559E-2</v>
      </c>
      <c r="N2" s="16">
        <v>20765</v>
      </c>
      <c r="O2" s="16">
        <f>C2*21+F2*21+I2*63</f>
        <v>21990</v>
      </c>
      <c r="P2" s="17">
        <f>(O2-N2)/N2</f>
        <v>5.8993498675656154E-2</v>
      </c>
      <c r="Q2" s="6">
        <v>0.75</v>
      </c>
      <c r="R2" s="7">
        <v>1</v>
      </c>
      <c r="S2" s="4">
        <v>41306</v>
      </c>
    </row>
    <row r="3" spans="1:20" s="3" customFormat="1" ht="15.75" x14ac:dyDescent="0.25">
      <c r="A3" s="29" t="s">
        <v>2</v>
      </c>
      <c r="B3" s="30">
        <v>395</v>
      </c>
      <c r="C3" s="31">
        <v>415</v>
      </c>
      <c r="D3" s="32">
        <f>(C3-B3)/B3</f>
        <v>5.0632911392405063E-2</v>
      </c>
      <c r="E3" s="33">
        <v>125</v>
      </c>
      <c r="F3" s="34">
        <v>125</v>
      </c>
      <c r="G3" s="35">
        <f>(F3-E3)/E3</f>
        <v>0</v>
      </c>
      <c r="H3" s="36">
        <f>17325/63</f>
        <v>275</v>
      </c>
      <c r="I3" s="36">
        <f>18191/63</f>
        <v>288.74603174603175</v>
      </c>
      <c r="J3" s="23">
        <f>(I3-H3)/H3</f>
        <v>4.9985569985569987E-2</v>
      </c>
      <c r="K3" s="13">
        <v>19950</v>
      </c>
      <c r="L3" s="13">
        <f t="shared" ref="L3:L16" si="0">F3*21+I3*63</f>
        <v>20816</v>
      </c>
      <c r="M3" s="37">
        <f>(L3-K3)/K3</f>
        <v>4.3408521303258146E-2</v>
      </c>
      <c r="N3" s="16">
        <v>28245</v>
      </c>
      <c r="O3" s="16">
        <f t="shared" ref="O3:O16" si="1">C3*21+F3*21+I3*63</f>
        <v>29531</v>
      </c>
      <c r="P3" s="38">
        <f>(O3-N3)/N3</f>
        <v>4.553018233315631E-2</v>
      </c>
      <c r="Q3" s="39">
        <v>0.5</v>
      </c>
      <c r="R3" s="40">
        <v>0.75</v>
      </c>
      <c r="S3" s="41">
        <v>41275</v>
      </c>
    </row>
    <row r="4" spans="1:20" s="3" customFormat="1" ht="15.75" x14ac:dyDescent="0.25">
      <c r="A4" s="29" t="s">
        <v>10</v>
      </c>
      <c r="B4" s="30">
        <v>375</v>
      </c>
      <c r="C4" s="31">
        <v>400</v>
      </c>
      <c r="D4" s="32">
        <f>(C4-B4)/B4</f>
        <v>6.6666666666666666E-2</v>
      </c>
      <c r="E4" s="33">
        <v>190</v>
      </c>
      <c r="F4" s="34">
        <v>200</v>
      </c>
      <c r="G4" s="35">
        <f>(F4-E4)/E4</f>
        <v>5.2631578947368418E-2</v>
      </c>
      <c r="H4" s="36">
        <f>16500/63</f>
        <v>261.90476190476193</v>
      </c>
      <c r="I4" s="36">
        <v>234</v>
      </c>
      <c r="J4" s="23">
        <f>(I4-H4)/H4</f>
        <v>-0.10654545454545462</v>
      </c>
      <c r="K4" s="13">
        <v>20490</v>
      </c>
      <c r="L4" s="13">
        <f t="shared" si="0"/>
        <v>18942</v>
      </c>
      <c r="M4" s="37">
        <f>(L4-K4)/K4</f>
        <v>-7.5549048316251824E-2</v>
      </c>
      <c r="N4" s="16">
        <v>28365</v>
      </c>
      <c r="O4" s="16">
        <f t="shared" si="1"/>
        <v>27342</v>
      </c>
      <c r="P4" s="38">
        <f>(O4-N4)/N4</f>
        <v>-3.6065573770491806E-2</v>
      </c>
      <c r="Q4" s="39">
        <v>0.5</v>
      </c>
      <c r="R4" s="40">
        <v>0.75</v>
      </c>
      <c r="S4" s="41">
        <v>41275</v>
      </c>
    </row>
    <row r="5" spans="1:20" s="3" customFormat="1" ht="18.75" x14ac:dyDescent="0.25">
      <c r="A5" s="29" t="s">
        <v>27</v>
      </c>
      <c r="B5" s="42">
        <v>350</v>
      </c>
      <c r="C5" s="43">
        <v>371</v>
      </c>
      <c r="D5" s="32">
        <f>(C5-B5)/B5</f>
        <v>0.06</v>
      </c>
      <c r="E5" s="44">
        <v>112</v>
      </c>
      <c r="F5" s="45">
        <v>118</v>
      </c>
      <c r="G5" s="35">
        <f>(F5-E5)/E5</f>
        <v>5.3571428571428568E-2</v>
      </c>
      <c r="H5" s="46">
        <v>314</v>
      </c>
      <c r="I5" s="46">
        <f>20790/63</f>
        <v>330</v>
      </c>
      <c r="J5" s="23">
        <f>(I5-H5)/H5</f>
        <v>5.0955414012738856E-2</v>
      </c>
      <c r="K5" s="13">
        <v>22134</v>
      </c>
      <c r="L5" s="13">
        <f t="shared" si="0"/>
        <v>23268</v>
      </c>
      <c r="M5" s="37">
        <f>(L5-K5)/K5</f>
        <v>5.1233396584440226E-2</v>
      </c>
      <c r="N5" s="16">
        <v>29484</v>
      </c>
      <c r="O5" s="16">
        <f t="shared" si="1"/>
        <v>31059</v>
      </c>
      <c r="P5" s="38">
        <f>(O5-N5)/N5</f>
        <v>5.3418803418803416E-2</v>
      </c>
      <c r="Q5" s="47">
        <v>0.3</v>
      </c>
      <c r="R5" s="48">
        <v>0.6</v>
      </c>
      <c r="S5" s="41">
        <v>41275</v>
      </c>
    </row>
    <row r="6" spans="1:20" s="3" customFormat="1" ht="18.75" x14ac:dyDescent="0.25">
      <c r="A6" s="29" t="s">
        <v>28</v>
      </c>
      <c r="B6" s="30">
        <v>275</v>
      </c>
      <c r="C6" s="31">
        <v>285</v>
      </c>
      <c r="D6" s="32">
        <f>(C6-B6)/B6</f>
        <v>3.6363636363636362E-2</v>
      </c>
      <c r="E6" s="33"/>
      <c r="F6" s="34"/>
      <c r="G6" s="35"/>
      <c r="H6" s="36">
        <f>15500/63</f>
        <v>246.03174603174602</v>
      </c>
      <c r="I6" s="36">
        <f>16000/63</f>
        <v>253.96825396825398</v>
      </c>
      <c r="J6" s="23">
        <f>(I6-H6)/H6</f>
        <v>3.2258064516129094E-2</v>
      </c>
      <c r="K6" s="13">
        <v>15500</v>
      </c>
      <c r="L6" s="13">
        <f>I6*63</f>
        <v>16000</v>
      </c>
      <c r="M6" s="37">
        <f>(L6-K6)/K6</f>
        <v>3.2258064516129031E-2</v>
      </c>
      <c r="N6" s="16">
        <v>21275</v>
      </c>
      <c r="O6" s="16">
        <f>C6*21+I6*63</f>
        <v>21985</v>
      </c>
      <c r="P6" s="38">
        <f>(O6-N6)/N6</f>
        <v>3.337250293772033E-2</v>
      </c>
      <c r="Q6" s="39">
        <v>0.5</v>
      </c>
      <c r="R6" s="40">
        <v>1</v>
      </c>
      <c r="S6" s="41">
        <v>41275</v>
      </c>
    </row>
    <row r="7" spans="1:20" s="3" customFormat="1" ht="18.75" x14ac:dyDescent="0.25">
      <c r="A7" s="29" t="s">
        <v>31</v>
      </c>
      <c r="B7" s="30">
        <v>428</v>
      </c>
      <c r="C7" s="31">
        <v>428</v>
      </c>
      <c r="D7" s="32">
        <f t="shared" ref="D7:D12" si="2">(C7-B7)/B7</f>
        <v>0</v>
      </c>
      <c r="E7" s="33">
        <v>136</v>
      </c>
      <c r="F7" s="34">
        <v>136</v>
      </c>
      <c r="G7" s="35">
        <f>(F7-E7)/E7</f>
        <v>0</v>
      </c>
      <c r="H7" s="36">
        <f>20200/63</f>
        <v>320.63492063492066</v>
      </c>
      <c r="I7" s="36">
        <f>21350/63</f>
        <v>338.88888888888891</v>
      </c>
      <c r="J7" s="23">
        <f t="shared" ref="J7:J12" si="3">(I7-H7)/H7</f>
        <v>5.6930693069306926E-2</v>
      </c>
      <c r="K7" s="13">
        <v>23056</v>
      </c>
      <c r="L7" s="13">
        <f t="shared" si="0"/>
        <v>24206</v>
      </c>
      <c r="M7" s="37">
        <f t="shared" ref="M7:M12" si="4">(L7-K7)/K7</f>
        <v>4.9878556557945868E-2</v>
      </c>
      <c r="N7" s="16">
        <v>32044</v>
      </c>
      <c r="O7" s="16">
        <f t="shared" si="1"/>
        <v>33194</v>
      </c>
      <c r="P7" s="38">
        <f t="shared" ref="P7:P12" si="5">(O7-N7)/N7</f>
        <v>3.5888153788540759E-2</v>
      </c>
      <c r="Q7" s="39">
        <v>0.5</v>
      </c>
      <c r="R7" s="40">
        <v>0.75</v>
      </c>
      <c r="S7" s="41">
        <v>41275</v>
      </c>
    </row>
    <row r="8" spans="1:20" s="3" customFormat="1" ht="18.75" x14ac:dyDescent="0.25">
      <c r="A8" s="29" t="s">
        <v>29</v>
      </c>
      <c r="B8" s="30">
        <v>310</v>
      </c>
      <c r="C8" s="31">
        <v>327</v>
      </c>
      <c r="D8" s="32">
        <f t="shared" si="2"/>
        <v>5.4838709677419356E-2</v>
      </c>
      <c r="E8" s="33"/>
      <c r="F8" s="34"/>
      <c r="G8" s="35"/>
      <c r="H8" s="36">
        <v>275</v>
      </c>
      <c r="I8" s="36">
        <v>290</v>
      </c>
      <c r="J8" s="23">
        <f t="shared" si="3"/>
        <v>5.4545454545454543E-2</v>
      </c>
      <c r="K8" s="13">
        <v>17325</v>
      </c>
      <c r="L8" s="13">
        <f t="shared" si="0"/>
        <v>18270</v>
      </c>
      <c r="M8" s="37">
        <f t="shared" si="4"/>
        <v>5.4545454545454543E-2</v>
      </c>
      <c r="N8" s="16">
        <v>23835</v>
      </c>
      <c r="O8" s="16">
        <f t="shared" si="1"/>
        <v>25137</v>
      </c>
      <c r="P8" s="38">
        <f t="shared" si="5"/>
        <v>5.462555066079295E-2</v>
      </c>
      <c r="Q8" s="39">
        <v>0.5</v>
      </c>
      <c r="R8" s="40">
        <v>0.5</v>
      </c>
      <c r="S8" s="41">
        <v>41275</v>
      </c>
    </row>
    <row r="9" spans="1:20" s="3" customFormat="1" ht="18.75" x14ac:dyDescent="0.25">
      <c r="A9" s="29" t="s">
        <v>36</v>
      </c>
      <c r="B9" s="30">
        <v>306</v>
      </c>
      <c r="C9" s="31">
        <v>319</v>
      </c>
      <c r="D9" s="32">
        <f t="shared" si="2"/>
        <v>4.2483660130718956E-2</v>
      </c>
      <c r="E9" s="33">
        <v>120</v>
      </c>
      <c r="F9" s="34">
        <v>125</v>
      </c>
      <c r="G9" s="35">
        <f>(F9-E9)/E9</f>
        <v>4.1666666666666664E-2</v>
      </c>
      <c r="H9" s="36">
        <v>228</v>
      </c>
      <c r="I9" s="36">
        <f>(5710+237*43)/63</f>
        <v>252.39682539682539</v>
      </c>
      <c r="J9" s="23">
        <f t="shared" si="3"/>
        <v>0.10700362016151488</v>
      </c>
      <c r="K9" s="13">
        <v>17806</v>
      </c>
      <c r="L9" s="13">
        <f>F9*21+I9*63</f>
        <v>18526</v>
      </c>
      <c r="M9" s="37">
        <f t="shared" si="4"/>
        <v>4.0435808154554644E-2</v>
      </c>
      <c r="N9" s="16">
        <v>24232</v>
      </c>
      <c r="O9" s="16">
        <f>C9*21+F9*21+I9*63</f>
        <v>25225</v>
      </c>
      <c r="P9" s="38">
        <f t="shared" si="5"/>
        <v>4.0978870914493232E-2</v>
      </c>
      <c r="Q9" s="39">
        <v>0.25</v>
      </c>
      <c r="R9" s="40">
        <v>1</v>
      </c>
      <c r="S9" s="41">
        <v>41275</v>
      </c>
    </row>
    <row r="10" spans="1:20" s="3" customFormat="1" ht="15.75" x14ac:dyDescent="0.25">
      <c r="A10" s="29" t="s">
        <v>0</v>
      </c>
      <c r="B10" s="30">
        <v>300</v>
      </c>
      <c r="C10" s="31">
        <v>314</v>
      </c>
      <c r="D10" s="32">
        <f t="shared" si="2"/>
        <v>4.6666666666666669E-2</v>
      </c>
      <c r="E10" s="33">
        <v>98</v>
      </c>
      <c r="F10" s="34">
        <v>102</v>
      </c>
      <c r="G10" s="35">
        <f>(F10-E10)/E10</f>
        <v>4.0816326530612242E-2</v>
      </c>
      <c r="H10" s="36">
        <v>227</v>
      </c>
      <c r="I10" s="36">
        <v>266</v>
      </c>
      <c r="J10" s="23">
        <f t="shared" si="3"/>
        <v>0.17180616740088106</v>
      </c>
      <c r="K10" s="13">
        <v>16359</v>
      </c>
      <c r="L10" s="13">
        <f t="shared" si="0"/>
        <v>18900</v>
      </c>
      <c r="M10" s="37">
        <f t="shared" si="4"/>
        <v>0.15532734274711169</v>
      </c>
      <c r="N10" s="16">
        <v>22659</v>
      </c>
      <c r="O10" s="16">
        <f t="shared" si="1"/>
        <v>25494</v>
      </c>
      <c r="P10" s="38">
        <f t="shared" si="5"/>
        <v>0.12511584800741427</v>
      </c>
      <c r="Q10" s="39">
        <v>0.5</v>
      </c>
      <c r="R10" s="40">
        <v>0.75</v>
      </c>
      <c r="S10" s="41">
        <v>41275</v>
      </c>
    </row>
    <row r="11" spans="1:20" s="3" customFormat="1" ht="18.75" x14ac:dyDescent="0.25">
      <c r="A11" s="29" t="s">
        <v>32</v>
      </c>
      <c r="B11" s="30">
        <v>365</v>
      </c>
      <c r="C11" s="31">
        <v>385</v>
      </c>
      <c r="D11" s="32">
        <f t="shared" si="2"/>
        <v>5.4794520547945202E-2</v>
      </c>
      <c r="E11" s="33">
        <f>3078/21</f>
        <v>146.57142857142858</v>
      </c>
      <c r="F11" s="34">
        <f>3245/21</f>
        <v>154.52380952380952</v>
      </c>
      <c r="G11" s="35">
        <f>(F11-E11)/E11</f>
        <v>5.4256010396361146E-2</v>
      </c>
      <c r="H11" s="36">
        <f>16478/63</f>
        <v>261.55555555555554</v>
      </c>
      <c r="I11" s="36">
        <f>16478/63</f>
        <v>261.55555555555554</v>
      </c>
      <c r="J11" s="23">
        <f t="shared" si="3"/>
        <v>0</v>
      </c>
      <c r="K11" s="13">
        <v>19556</v>
      </c>
      <c r="L11" s="13">
        <f t="shared" si="0"/>
        <v>19723</v>
      </c>
      <c r="M11" s="37">
        <f t="shared" si="4"/>
        <v>8.5395786459398649E-3</v>
      </c>
      <c r="N11" s="16">
        <v>27221</v>
      </c>
      <c r="O11" s="16">
        <f t="shared" si="1"/>
        <v>27808</v>
      </c>
      <c r="P11" s="38">
        <f t="shared" si="5"/>
        <v>2.156423349619779E-2</v>
      </c>
      <c r="Q11" s="39">
        <v>0.5</v>
      </c>
      <c r="R11" s="40">
        <v>1</v>
      </c>
      <c r="S11" s="41">
        <v>41153</v>
      </c>
    </row>
    <row r="12" spans="1:20" s="3" customFormat="1" ht="18.75" x14ac:dyDescent="0.25">
      <c r="A12" s="29" t="s">
        <v>34</v>
      </c>
      <c r="B12" s="30">
        <v>383</v>
      </c>
      <c r="C12" s="31">
        <v>400</v>
      </c>
      <c r="D12" s="32">
        <f t="shared" si="2"/>
        <v>4.4386422976501305E-2</v>
      </c>
      <c r="E12" s="33">
        <f>2273/21</f>
        <v>108.23809523809524</v>
      </c>
      <c r="F12" s="34">
        <f>2362/21</f>
        <v>112.47619047619048</v>
      </c>
      <c r="G12" s="35">
        <f>(F12-E12)/E12</f>
        <v>3.915530136383636E-2</v>
      </c>
      <c r="H12" s="36">
        <f>10576/63</f>
        <v>167.87301587301587</v>
      </c>
      <c r="I12" s="36">
        <f>10989/63</f>
        <v>174.42857142857142</v>
      </c>
      <c r="J12" s="23">
        <f t="shared" si="3"/>
        <v>3.9050680786686762E-2</v>
      </c>
      <c r="K12" s="13">
        <v>12849</v>
      </c>
      <c r="L12" s="13">
        <f t="shared" si="0"/>
        <v>13351</v>
      </c>
      <c r="M12" s="37">
        <f t="shared" si="4"/>
        <v>3.9069188263678105E-2</v>
      </c>
      <c r="N12" s="16">
        <v>20892</v>
      </c>
      <c r="O12" s="16">
        <f t="shared" si="1"/>
        <v>21751</v>
      </c>
      <c r="P12" s="38">
        <f t="shared" si="5"/>
        <v>4.1116216733677963E-2</v>
      </c>
      <c r="Q12" s="39">
        <v>0.5</v>
      </c>
      <c r="R12" s="40">
        <v>1</v>
      </c>
      <c r="S12" s="41">
        <v>41275</v>
      </c>
    </row>
    <row r="13" spans="1:20" s="3" customFormat="1" ht="18.75" x14ac:dyDescent="0.25">
      <c r="A13" s="29" t="s">
        <v>43</v>
      </c>
      <c r="B13" s="30">
        <v>261</v>
      </c>
      <c r="C13" s="31">
        <v>332</v>
      </c>
      <c r="D13" s="32">
        <f>(C13-B13)/B13</f>
        <v>0.27203065134099619</v>
      </c>
      <c r="E13" s="33"/>
      <c r="F13" s="34"/>
      <c r="G13" s="35"/>
      <c r="H13" s="36">
        <v>192</v>
      </c>
      <c r="I13" s="36">
        <v>209</v>
      </c>
      <c r="J13" s="23">
        <f>(I13-H13)/H13</f>
        <v>8.8541666666666671E-2</v>
      </c>
      <c r="K13" s="13">
        <f>H13*63</f>
        <v>12096</v>
      </c>
      <c r="L13" s="13">
        <f>I13*63</f>
        <v>13167</v>
      </c>
      <c r="M13" s="37">
        <f>(L13-K13)/K13</f>
        <v>8.8541666666666671E-2</v>
      </c>
      <c r="N13" s="16">
        <f>K13+B13*21</f>
        <v>17577</v>
      </c>
      <c r="O13" s="16">
        <f>C13*21+I13*63</f>
        <v>20139</v>
      </c>
      <c r="P13" s="38">
        <f>(O13-N13)/N13</f>
        <v>0.14575866188769415</v>
      </c>
      <c r="Q13" s="39">
        <v>0.5</v>
      </c>
      <c r="R13" s="40">
        <v>1</v>
      </c>
      <c r="S13" s="41">
        <v>41306</v>
      </c>
    </row>
    <row r="14" spans="1:20" s="3" customFormat="1" ht="18.75" x14ac:dyDescent="0.25">
      <c r="A14" s="29" t="s">
        <v>37</v>
      </c>
      <c r="B14" s="30">
        <v>412</v>
      </c>
      <c r="C14" s="31">
        <v>450</v>
      </c>
      <c r="D14" s="32">
        <f>(C14-B14)/B14</f>
        <v>9.2233009708737865E-2</v>
      </c>
      <c r="E14" s="33">
        <v>164</v>
      </c>
      <c r="F14" s="34">
        <v>172</v>
      </c>
      <c r="G14" s="35">
        <f>(F14-E14)/E14</f>
        <v>4.878048780487805E-2</v>
      </c>
      <c r="H14" s="36">
        <v>344</v>
      </c>
      <c r="I14" s="36">
        <v>344</v>
      </c>
      <c r="J14" s="23">
        <f>(I14-H14)/H14</f>
        <v>0</v>
      </c>
      <c r="K14" s="13">
        <v>20893</v>
      </c>
      <c r="L14" s="13">
        <f>F14*21+17449</f>
        <v>21061</v>
      </c>
      <c r="M14" s="37">
        <f>(L14-K14)/K14</f>
        <v>8.0409706600296747E-3</v>
      </c>
      <c r="N14" s="16">
        <v>29545</v>
      </c>
      <c r="O14" s="16">
        <f>C14*21+F14*21+17449</f>
        <v>30511</v>
      </c>
      <c r="P14" s="38">
        <f>(O14-N14)/N14</f>
        <v>3.2695887629040445E-2</v>
      </c>
      <c r="Q14" s="39">
        <v>0.3</v>
      </c>
      <c r="R14" s="40">
        <v>1</v>
      </c>
      <c r="S14" s="41">
        <v>41275</v>
      </c>
    </row>
    <row r="15" spans="1:20" s="3" customFormat="1" ht="15.75" x14ac:dyDescent="0.25">
      <c r="A15" s="29" t="s">
        <v>3</v>
      </c>
      <c r="B15" s="30">
        <v>435</v>
      </c>
      <c r="C15" s="31">
        <v>435</v>
      </c>
      <c r="D15" s="32">
        <f>(C15-B15)/B15</f>
        <v>0</v>
      </c>
      <c r="E15" s="33">
        <v>140</v>
      </c>
      <c r="F15" s="34">
        <v>140</v>
      </c>
      <c r="G15" s="35">
        <f>(F15-E15)/E15</f>
        <v>0</v>
      </c>
      <c r="H15" s="36">
        <v>210</v>
      </c>
      <c r="I15" s="36">
        <v>210</v>
      </c>
      <c r="J15" s="23">
        <f>(I15-H15)/H15</f>
        <v>0</v>
      </c>
      <c r="K15" s="49">
        <v>16170</v>
      </c>
      <c r="L15" s="49">
        <f t="shared" si="0"/>
        <v>16170</v>
      </c>
      <c r="M15" s="37">
        <f>(L15-K15)/K15</f>
        <v>0</v>
      </c>
      <c r="N15" s="50">
        <v>25305</v>
      </c>
      <c r="O15" s="50">
        <f t="shared" si="1"/>
        <v>25305</v>
      </c>
      <c r="P15" s="38">
        <f>(O15-N15)/N15</f>
        <v>0</v>
      </c>
      <c r="Q15" s="39">
        <v>0.25</v>
      </c>
      <c r="R15" s="40">
        <v>0.5</v>
      </c>
      <c r="S15" s="41">
        <v>41275</v>
      </c>
    </row>
    <row r="16" spans="1:20" s="3" customFormat="1" ht="19.5" thickBot="1" x14ac:dyDescent="0.3">
      <c r="A16" s="51" t="s">
        <v>42</v>
      </c>
      <c r="B16" s="52">
        <v>425</v>
      </c>
      <c r="C16" s="53">
        <v>425</v>
      </c>
      <c r="D16" s="54">
        <f>(C16-B16)/B16</f>
        <v>0</v>
      </c>
      <c r="E16" s="55">
        <v>100</v>
      </c>
      <c r="F16" s="56">
        <v>130</v>
      </c>
      <c r="G16" s="57">
        <f>(F16-E16)/E16</f>
        <v>0.3</v>
      </c>
      <c r="H16" s="58">
        <f>(250*20+170*43)/63</f>
        <v>195.39682539682539</v>
      </c>
      <c r="I16" s="58">
        <f>(250*20+170*43)/63</f>
        <v>195.39682539682539</v>
      </c>
      <c r="J16" s="59">
        <f>(I16-H16)/H16</f>
        <v>0</v>
      </c>
      <c r="K16" s="60">
        <v>14410</v>
      </c>
      <c r="L16" s="60">
        <f t="shared" si="0"/>
        <v>15040</v>
      </c>
      <c r="M16" s="61">
        <f>(L16-K16)/K16</f>
        <v>4.3719639139486469E-2</v>
      </c>
      <c r="N16" s="62">
        <v>23335</v>
      </c>
      <c r="O16" s="62">
        <f t="shared" si="1"/>
        <v>23965</v>
      </c>
      <c r="P16" s="63">
        <f>(O16-N16)/N16</f>
        <v>2.699807156631669E-2</v>
      </c>
      <c r="Q16" s="64">
        <v>0.25</v>
      </c>
      <c r="R16" s="65">
        <v>0.25</v>
      </c>
      <c r="S16" s="66">
        <v>41275</v>
      </c>
    </row>
    <row r="17" spans="1:20" ht="15.7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25">
      <c r="A18" s="67" t="s">
        <v>6</v>
      </c>
      <c r="B18" s="76"/>
      <c r="C18" s="76"/>
      <c r="D18" s="76"/>
      <c r="E18" s="68"/>
      <c r="F18" s="68"/>
      <c r="G18" s="69"/>
      <c r="H18" s="2"/>
      <c r="I18" s="2"/>
      <c r="J18" s="2"/>
      <c r="K18" s="67" t="s">
        <v>38</v>
      </c>
      <c r="L18" s="68"/>
      <c r="M18" s="68"/>
      <c r="N18" s="68"/>
      <c r="O18" s="69"/>
      <c r="P18" s="2"/>
      <c r="Q18" s="2"/>
      <c r="R18" s="2"/>
      <c r="S18" s="2"/>
      <c r="T18" s="2"/>
    </row>
    <row r="19" spans="1:20" ht="15.75" customHeight="1" x14ac:dyDescent="0.25">
      <c r="A19" s="70" t="s">
        <v>40</v>
      </c>
      <c r="B19" s="71"/>
      <c r="C19" s="71"/>
      <c r="D19" s="71"/>
      <c r="E19" s="71"/>
      <c r="F19" s="71"/>
      <c r="G19" s="72"/>
      <c r="H19" s="2"/>
      <c r="I19" s="2"/>
      <c r="J19" s="2"/>
      <c r="K19" s="70" t="s">
        <v>4</v>
      </c>
      <c r="L19" s="71"/>
      <c r="M19" s="71"/>
      <c r="N19" s="71"/>
      <c r="O19" s="72"/>
      <c r="P19" s="2"/>
      <c r="Q19" s="2"/>
      <c r="R19" s="2"/>
      <c r="S19" s="2"/>
      <c r="T19" s="2"/>
    </row>
    <row r="20" spans="1:20" ht="15.75" customHeight="1" thickBot="1" x14ac:dyDescent="0.3">
      <c r="A20" s="70" t="s">
        <v>8</v>
      </c>
      <c r="B20" s="71"/>
      <c r="C20" s="71"/>
      <c r="D20" s="71"/>
      <c r="E20" s="71"/>
      <c r="F20" s="71"/>
      <c r="G20" s="72"/>
      <c r="H20" s="2"/>
      <c r="I20" s="2"/>
      <c r="J20" s="2"/>
      <c r="K20" s="73" t="s">
        <v>5</v>
      </c>
      <c r="L20" s="74"/>
      <c r="M20" s="74"/>
      <c r="N20" s="74"/>
      <c r="O20" s="75"/>
      <c r="P20" s="2"/>
      <c r="Q20" s="2"/>
      <c r="R20" s="2"/>
      <c r="S20" s="2"/>
      <c r="T20" s="2"/>
    </row>
    <row r="21" spans="1:20" ht="15.75" customHeight="1" x14ac:dyDescent="0.25">
      <c r="A21" s="70" t="s">
        <v>20</v>
      </c>
      <c r="B21" s="71"/>
      <c r="C21" s="71"/>
      <c r="D21" s="71"/>
      <c r="E21" s="71"/>
      <c r="F21" s="71"/>
      <c r="G21" s="7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 x14ac:dyDescent="0.25">
      <c r="A22" s="70" t="s">
        <v>41</v>
      </c>
      <c r="B22" s="71"/>
      <c r="C22" s="71"/>
      <c r="D22" s="71"/>
      <c r="E22" s="71"/>
      <c r="F22" s="71"/>
      <c r="G22" s="7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5">
      <c r="A23" s="70" t="s">
        <v>30</v>
      </c>
      <c r="B23" s="71"/>
      <c r="C23" s="71"/>
      <c r="D23" s="71"/>
      <c r="E23" s="71"/>
      <c r="F23" s="71"/>
      <c r="G23" s="7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 x14ac:dyDescent="0.25">
      <c r="A24" s="70" t="s">
        <v>9</v>
      </c>
      <c r="B24" s="71"/>
      <c r="C24" s="71"/>
      <c r="D24" s="71"/>
      <c r="E24" s="71"/>
      <c r="F24" s="71"/>
      <c r="G24" s="7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5">
      <c r="A25" s="70" t="s">
        <v>33</v>
      </c>
      <c r="B25" s="71"/>
      <c r="C25" s="71"/>
      <c r="D25" s="71"/>
      <c r="E25" s="71"/>
      <c r="F25" s="71"/>
      <c r="G25" s="7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 x14ac:dyDescent="0.25">
      <c r="A26" s="70" t="s">
        <v>26</v>
      </c>
      <c r="B26" s="71"/>
      <c r="C26" s="71"/>
      <c r="D26" s="71"/>
      <c r="E26" s="71"/>
      <c r="F26" s="71"/>
      <c r="G26" s="7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 x14ac:dyDescent="0.25">
      <c r="A27" s="70" t="s">
        <v>35</v>
      </c>
      <c r="B27" s="71"/>
      <c r="C27" s="71"/>
      <c r="D27" s="71"/>
      <c r="E27" s="71"/>
      <c r="F27" s="71"/>
      <c r="G27" s="7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 thickBot="1" x14ac:dyDescent="0.3">
      <c r="A28" s="73" t="s">
        <v>39</v>
      </c>
      <c r="B28" s="74"/>
      <c r="C28" s="74"/>
      <c r="D28" s="74"/>
      <c r="E28" s="74"/>
      <c r="F28" s="74"/>
      <c r="G28" s="7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Frístund 12-13</vt:lpstr>
      <vt:lpstr>'Frístund 12-13'!Print_Area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 </cp:lastModifiedBy>
  <cp:lastPrinted>2013-01-09T14:38:02Z</cp:lastPrinted>
  <dcterms:created xsi:type="dcterms:W3CDTF">2009-01-27T14:40:34Z</dcterms:created>
  <dcterms:modified xsi:type="dcterms:W3CDTF">2013-01-16T13:14:13Z</dcterms:modified>
</cp:coreProperties>
</file>