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465" windowWidth="18975" windowHeight="11490" tabRatio="734"/>
  </bookViews>
  <sheets>
    <sheet name="Heild" sheetId="1" r:id="rId1"/>
    <sheet name="4000 kwst" sheetId="2" r:id="rId2"/>
    <sheet name="Mynd heild" sheetId="14" r:id="rId3"/>
    <sheet name="Mynd fl og dr" sheetId="8" r:id="rId4"/>
    <sheet name="Mynd orkus" sheetId="15" r:id="rId5"/>
  </sheets>
  <definedNames>
    <definedName name="_xlnm.Print_Area" localSheetId="1">'4000 kwst'!$A$1:$F$37</definedName>
    <definedName name="_xlnm.Print_Area" localSheetId="0">Heild!$A$2:$Y$28</definedName>
  </definedNames>
  <calcPr calcId="145621"/>
</workbook>
</file>

<file path=xl/calcChain.xml><?xml version="1.0" encoding="utf-8"?>
<calcChain xmlns="http://schemas.openxmlformats.org/spreadsheetml/2006/main">
  <c r="B24" i="1" l="1"/>
  <c r="F24" i="1" s="1"/>
  <c r="G24" i="1" s="1"/>
  <c r="F23" i="1"/>
  <c r="G23" i="1" s="1"/>
  <c r="K27" i="1" l="1"/>
  <c r="O27" i="1" s="1"/>
  <c r="P27" i="1" s="1"/>
  <c r="O26" i="1"/>
  <c r="P26" i="1" s="1"/>
  <c r="O24" i="1"/>
  <c r="P24" i="1" s="1"/>
  <c r="K24" i="1"/>
  <c r="O23" i="1"/>
  <c r="P23" i="1" s="1"/>
  <c r="O21" i="1"/>
  <c r="P21" i="1" s="1"/>
  <c r="K21" i="1"/>
  <c r="O20" i="1"/>
  <c r="P20" i="1" s="1"/>
  <c r="O18" i="1"/>
  <c r="P18" i="1" s="1"/>
  <c r="K18" i="1"/>
  <c r="O17" i="1"/>
  <c r="P17" i="1" s="1"/>
  <c r="O15" i="1"/>
  <c r="P15" i="1" s="1"/>
  <c r="K15" i="1"/>
  <c r="O14" i="1"/>
  <c r="P14" i="1" s="1"/>
  <c r="O12" i="1"/>
  <c r="P12" i="1" s="1"/>
  <c r="O11" i="1"/>
  <c r="P11" i="1" s="1"/>
  <c r="O9" i="1"/>
  <c r="P9" i="1" s="1"/>
  <c r="O8" i="1"/>
  <c r="P8" i="1" s="1"/>
  <c r="O6" i="1"/>
  <c r="P6" i="1" s="1"/>
  <c r="O5" i="1"/>
  <c r="P5" i="1" s="1"/>
  <c r="B27" i="1"/>
  <c r="F27" i="1" s="1"/>
  <c r="G27" i="1" s="1"/>
  <c r="F26" i="1"/>
  <c r="G26" i="1" s="1"/>
  <c r="F21" i="1"/>
  <c r="G21" i="1" s="1"/>
  <c r="B21" i="1"/>
  <c r="F20" i="1"/>
  <c r="G20" i="1" s="1"/>
  <c r="F18" i="1"/>
  <c r="G18" i="1" s="1"/>
  <c r="B18" i="1"/>
  <c r="F17" i="1"/>
  <c r="G17" i="1" s="1"/>
  <c r="F15" i="1"/>
  <c r="G15" i="1" s="1"/>
  <c r="B15" i="1"/>
  <c r="F14" i="1"/>
  <c r="G14" i="1" s="1"/>
  <c r="F12" i="1"/>
  <c r="G12" i="1" s="1"/>
  <c r="G11" i="1"/>
  <c r="J11" i="1" s="1"/>
  <c r="F11" i="1"/>
  <c r="G9" i="1"/>
  <c r="J9" i="1" s="1"/>
  <c r="F9" i="1"/>
  <c r="F8" i="1"/>
  <c r="G8" i="1" s="1"/>
  <c r="G6" i="1"/>
  <c r="J6" i="1" s="1"/>
  <c r="F6" i="1"/>
  <c r="F5" i="1"/>
  <c r="G5" i="1" s="1"/>
  <c r="S5" i="1" l="1"/>
  <c r="Q5" i="1"/>
  <c r="R5" i="1"/>
  <c r="R8" i="1"/>
  <c r="S8" i="1"/>
  <c r="Q8" i="1"/>
  <c r="S11" i="1"/>
  <c r="Q11" i="1"/>
  <c r="R11" i="1"/>
  <c r="R14" i="1"/>
  <c r="R16" i="1" s="1"/>
  <c r="S14" i="1"/>
  <c r="Q14" i="1"/>
  <c r="Q16" i="1" s="1"/>
  <c r="R15" i="1"/>
  <c r="S15" i="1"/>
  <c r="Q15" i="1"/>
  <c r="R20" i="1"/>
  <c r="R22" i="1" s="1"/>
  <c r="S20" i="1"/>
  <c r="Q20" i="1"/>
  <c r="Q22" i="1" s="1"/>
  <c r="R21" i="1"/>
  <c r="S21" i="1"/>
  <c r="Q21" i="1"/>
  <c r="R26" i="1"/>
  <c r="S26" i="1"/>
  <c r="Q26" i="1"/>
  <c r="R6" i="1"/>
  <c r="S6" i="1"/>
  <c r="Q6" i="1"/>
  <c r="S9" i="1"/>
  <c r="Q9" i="1"/>
  <c r="R9" i="1"/>
  <c r="R12" i="1"/>
  <c r="S12" i="1"/>
  <c r="Q12" i="1"/>
  <c r="R17" i="1"/>
  <c r="R19" i="1" s="1"/>
  <c r="S17" i="1"/>
  <c r="Q17" i="1"/>
  <c r="Q19" i="1" s="1"/>
  <c r="R18" i="1"/>
  <c r="S18" i="1"/>
  <c r="Q18" i="1"/>
  <c r="R23" i="1"/>
  <c r="R25" i="1" s="1"/>
  <c r="S23" i="1"/>
  <c r="Q23" i="1"/>
  <c r="Q25" i="1" s="1"/>
  <c r="R24" i="1"/>
  <c r="S24" i="1"/>
  <c r="Q24" i="1"/>
  <c r="R27" i="1"/>
  <c r="S27" i="1"/>
  <c r="Q27" i="1"/>
  <c r="I8" i="1"/>
  <c r="J8" i="1"/>
  <c r="J10" i="1" s="1"/>
  <c r="H8" i="1"/>
  <c r="I14" i="1"/>
  <c r="I16" i="1" s="1"/>
  <c r="J14" i="1"/>
  <c r="H14" i="1"/>
  <c r="H16" i="1" s="1"/>
  <c r="I15" i="1"/>
  <c r="J15" i="1"/>
  <c r="H15" i="1"/>
  <c r="I20" i="1"/>
  <c r="I22" i="1" s="1"/>
  <c r="J20" i="1"/>
  <c r="H20" i="1"/>
  <c r="H22" i="1" s="1"/>
  <c r="I21" i="1"/>
  <c r="J21" i="1"/>
  <c r="H21" i="1"/>
  <c r="I26" i="1"/>
  <c r="J26" i="1"/>
  <c r="H26" i="1"/>
  <c r="I5" i="1"/>
  <c r="J5" i="1"/>
  <c r="J7" i="1" s="1"/>
  <c r="H5" i="1"/>
  <c r="I12" i="1"/>
  <c r="J12" i="1"/>
  <c r="J13" i="1" s="1"/>
  <c r="H12" i="1"/>
  <c r="I17" i="1"/>
  <c r="J17" i="1"/>
  <c r="J19" i="1" s="1"/>
  <c r="H17" i="1"/>
  <c r="I18" i="1"/>
  <c r="J18" i="1"/>
  <c r="H18" i="1"/>
  <c r="I23" i="1"/>
  <c r="J23" i="1"/>
  <c r="J25" i="1" s="1"/>
  <c r="H23" i="1"/>
  <c r="I24" i="1"/>
  <c r="J24" i="1"/>
  <c r="H24" i="1"/>
  <c r="I27" i="1"/>
  <c r="J27" i="1"/>
  <c r="H27" i="1"/>
  <c r="I6" i="1"/>
  <c r="H6" i="1"/>
  <c r="I9" i="1"/>
  <c r="I11" i="1"/>
  <c r="I13" i="1" s="1"/>
  <c r="H9" i="1"/>
  <c r="H11" i="1"/>
  <c r="H13" i="1" s="1"/>
  <c r="Q28" i="1" l="1"/>
  <c r="R28" i="1"/>
  <c r="Q13" i="1"/>
  <c r="Q10" i="1"/>
  <c r="R10" i="1"/>
  <c r="Q7" i="1"/>
  <c r="S25" i="1"/>
  <c r="S19" i="1"/>
  <c r="S28" i="1"/>
  <c r="S22" i="1"/>
  <c r="S16" i="1"/>
  <c r="R13" i="1"/>
  <c r="S13" i="1"/>
  <c r="S10" i="1"/>
  <c r="R7" i="1"/>
  <c r="S7" i="1"/>
  <c r="H25" i="1"/>
  <c r="I25" i="1"/>
  <c r="H19" i="1"/>
  <c r="I19" i="1"/>
  <c r="H7" i="1"/>
  <c r="I7" i="1"/>
  <c r="J28" i="1"/>
  <c r="J22" i="1"/>
  <c r="J16" i="1"/>
  <c r="H28" i="1"/>
  <c r="I28" i="1"/>
  <c r="H10" i="1"/>
  <c r="I10" i="1"/>
  <c r="W5" i="1" l="1"/>
  <c r="X5" i="1"/>
  <c r="W6" i="1"/>
  <c r="W8" i="1"/>
  <c r="W9" i="1"/>
  <c r="W11" i="1"/>
  <c r="X11" i="1"/>
  <c r="W12" i="1"/>
  <c r="W14" i="1"/>
  <c r="W15" i="1"/>
  <c r="W17" i="1"/>
  <c r="W18" i="1"/>
  <c r="W20" i="1"/>
  <c r="W21" i="1"/>
  <c r="W23" i="1"/>
  <c r="W24" i="1"/>
  <c r="W26" i="1"/>
  <c r="W27" i="1"/>
  <c r="T6" i="1" l="1"/>
  <c r="U25" i="1" l="1"/>
  <c r="U28" i="1"/>
  <c r="U10" i="1"/>
  <c r="T7" i="1"/>
  <c r="Y14" i="1" l="1"/>
  <c r="Y8" i="1" l="1"/>
  <c r="Y11" i="1"/>
  <c r="Y17" i="1"/>
  <c r="Y20" i="1"/>
  <c r="Y23" i="1"/>
  <c r="Y26" i="1"/>
  <c r="Y5" i="1"/>
  <c r="T17" i="1" l="1"/>
  <c r="U17" i="1"/>
  <c r="V17" i="1"/>
  <c r="T23" i="1"/>
  <c r="U23" i="1"/>
  <c r="V23" i="1"/>
  <c r="V6" i="1" l="1"/>
  <c r="U6" i="1"/>
  <c r="U9" i="1"/>
  <c r="V9" i="1"/>
  <c r="T9" i="1"/>
  <c r="V12" i="1"/>
  <c r="T12" i="1"/>
  <c r="U12" i="1"/>
  <c r="U27" i="1" l="1"/>
  <c r="V27" i="1"/>
  <c r="T27" i="1"/>
  <c r="V15" i="1"/>
  <c r="T15" i="1"/>
  <c r="U15" i="1"/>
  <c r="U26" i="1"/>
  <c r="T16" i="1"/>
  <c r="T14" i="1"/>
  <c r="V16" i="1"/>
  <c r="V14" i="1"/>
  <c r="U13" i="1"/>
  <c r="U11" i="1"/>
  <c r="V10" i="1"/>
  <c r="V8" i="1"/>
  <c r="T10" i="1"/>
  <c r="T8" i="1"/>
  <c r="U7" i="1"/>
  <c r="U5" i="1"/>
  <c r="V20" i="1"/>
  <c r="T20" i="1"/>
  <c r="V21" i="1"/>
  <c r="T21" i="1"/>
  <c r="U21" i="1"/>
  <c r="T28" i="1"/>
  <c r="T26" i="1"/>
  <c r="V28" i="1"/>
  <c r="V26" i="1"/>
  <c r="U16" i="1"/>
  <c r="U14" i="1"/>
  <c r="T13" i="1"/>
  <c r="T11" i="1"/>
  <c r="V13" i="1"/>
  <c r="V11" i="1"/>
  <c r="U8" i="1"/>
  <c r="T5" i="1"/>
  <c r="V7" i="1"/>
  <c r="V5" i="1"/>
  <c r="U22" i="1"/>
  <c r="U20" i="1"/>
  <c r="T24" i="1" l="1"/>
  <c r="T25" i="1"/>
  <c r="U24" i="1"/>
  <c r="T19" i="1"/>
  <c r="T18" i="1"/>
  <c r="T22" i="1"/>
  <c r="V22" i="1"/>
  <c r="V24" i="1"/>
  <c r="V25" i="1"/>
  <c r="U19" i="1"/>
  <c r="U18" i="1"/>
  <c r="V19" i="1"/>
  <c r="V18" i="1"/>
</calcChain>
</file>

<file path=xl/sharedStrings.xml><?xml version="1.0" encoding="utf-8"?>
<sst xmlns="http://schemas.openxmlformats.org/spreadsheetml/2006/main" count="102" uniqueCount="55">
  <si>
    <t xml:space="preserve">Raforkukostnaður </t>
  </si>
  <si>
    <t>Gildistaka nýjustu gjaldskrár</t>
  </si>
  <si>
    <t>Dreifikerfi dreifing</t>
  </si>
  <si>
    <t>Landsnet flutningur</t>
  </si>
  <si>
    <t>Orku- sala</t>
  </si>
  <si>
    <t>Orku-skattur</t>
  </si>
  <si>
    <t>Samtals án vsk</t>
  </si>
  <si>
    <t>Samtals með vsk</t>
  </si>
  <si>
    <t>2000 kWst/ári</t>
  </si>
  <si>
    <t>4000 kWst/ári</t>
  </si>
  <si>
    <t>6000 kWst/ári</t>
  </si>
  <si>
    <t>Fast gjald kr. / dag</t>
  </si>
  <si>
    <t>Samtals</t>
  </si>
  <si>
    <t>*</t>
  </si>
  <si>
    <t>Breyting</t>
  </si>
  <si>
    <t xml:space="preserve">Rafveita Reyðarfjarðar </t>
  </si>
  <si>
    <t>Heildarkostnaður - flutningur, dreifing og orka - 4000 kWst/ ári</t>
  </si>
  <si>
    <t>Breyting sundurliðuð</t>
  </si>
  <si>
    <t>Flutningur og dreifing  - 4000 kWst/ ári</t>
  </si>
  <si>
    <t>Orkusala- 4000 kWst/ ári</t>
  </si>
  <si>
    <t>Orkubú Vestfjarða þéttbýli - Orkugjald kr/kWh</t>
  </si>
  <si>
    <t>Orkubú Vestfjarða dreifbýli - Orkugjald kr/kWh</t>
  </si>
  <si>
    <t>Rafveita Reyðarfjarðar - Orkugjald kr./kWh</t>
  </si>
  <si>
    <t>Orkusalan/RARIK þéttbýli - Orkugjald kr./kWh</t>
  </si>
  <si>
    <t>Orkusalan/RARIK dreifbýli - Orkugjald kr./kWh</t>
  </si>
  <si>
    <t>Dasetning á seinustu verðskrár orkusölu</t>
  </si>
  <si>
    <t>Dasetning á seinustu verðskrár Dreifikerfis</t>
  </si>
  <si>
    <t>HS orka/HS veita  - Orkugjald kr./kWh  Suðurnes og Hafnafjörður</t>
  </si>
  <si>
    <t>Norðurorka / Fallorka(orkusala)- Orkugjald kr./kWh</t>
  </si>
  <si>
    <t>* Flutningur landsnets þar með talinn</t>
  </si>
  <si>
    <t>** Dreifing allrar raforku í dreifbýli er greidd niður. (dreifbýlisframlag)</t>
  </si>
  <si>
    <t>Orkuveita Reykjavíkur</t>
  </si>
  <si>
    <t>Norðurorka / Fallorka</t>
  </si>
  <si>
    <t>HS orka/HS veita</t>
  </si>
  <si>
    <t>Orkubú Vestfjarða þéttbýli</t>
  </si>
  <si>
    <t xml:space="preserve">Orkubú Vestfjarða dreifbýli </t>
  </si>
  <si>
    <r>
      <t>RARIK þéttbýli/Orkusalan</t>
    </r>
    <r>
      <rPr>
        <b/>
        <vertAlign val="superscript"/>
        <sz val="10"/>
        <rFont val="Arial"/>
        <family val="2"/>
      </rPr>
      <t xml:space="preserve"> </t>
    </r>
  </si>
  <si>
    <r>
      <t>RARIK dreifbýli/Orkusalan</t>
    </r>
    <r>
      <rPr>
        <b/>
        <vertAlign val="superscript"/>
        <sz val="10"/>
        <rFont val="Arial"/>
        <family val="2"/>
      </rPr>
      <t xml:space="preserve"> </t>
    </r>
    <r>
      <rPr>
        <b/>
        <sz val="12"/>
        <rFont val="Arial"/>
        <family val="2"/>
      </rPr>
      <t/>
    </r>
  </si>
  <si>
    <t xml:space="preserve">Norðurorka </t>
  </si>
  <si>
    <t>HS veita</t>
  </si>
  <si>
    <t>RARIK þéttbýli</t>
  </si>
  <si>
    <r>
      <t>RARIK dreifbýli</t>
    </r>
    <r>
      <rPr>
        <b/>
        <sz val="12"/>
        <rFont val="Arial"/>
        <family val="2"/>
      </rPr>
      <t/>
    </r>
  </si>
  <si>
    <t>Fallorka</t>
  </si>
  <si>
    <t>HS orka</t>
  </si>
  <si>
    <t>2013 - ágúst</t>
  </si>
  <si>
    <t>7,91-0,65(niðurgr.) **</t>
  </si>
  <si>
    <t>Orkusalan þéttbýli</t>
  </si>
  <si>
    <t>Orkuveita Reykjavíkur / ON(orkusala)- Orkugjald kr./kWh</t>
  </si>
  <si>
    <t>8,3-0,56(niðurgr.) **</t>
  </si>
  <si>
    <t>2014 - janúar</t>
  </si>
  <si>
    <t>Breyting frá ág 13 - jan 14</t>
  </si>
  <si>
    <t>Orka Náttúrunnar</t>
  </si>
  <si>
    <t>Orkusalan dreifbýli</t>
  </si>
  <si>
    <t>Orkuveita Reykjavíkur / Orka Náttúrunnar</t>
  </si>
  <si>
    <t>7,94-0,56(niðurgr.)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</si>
</sst>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k_r_."/>
    <numFmt numFmtId="165" formatCode="0.0%"/>
  </numFmts>
  <fonts count="2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vertAlign val="superscript"/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66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216">
    <xf numFmtId="0" fontId="0" fillId="0" borderId="0" xfId="0"/>
    <xf numFmtId="0" fontId="3" fillId="0" borderId="7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3" fillId="0" borderId="8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3" fillId="4" borderId="10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164" fontId="2" fillId="4" borderId="29" xfId="0" applyNumberFormat="1" applyFont="1" applyFill="1" applyBorder="1" applyAlignment="1">
      <alignment horizontal="center"/>
    </xf>
    <xf numFmtId="164" fontId="2" fillId="4" borderId="30" xfId="0" applyNumberFormat="1" applyFont="1" applyFill="1" applyBorder="1" applyAlignment="1">
      <alignment horizontal="center"/>
    </xf>
    <xf numFmtId="164" fontId="2" fillId="4" borderId="32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2" fontId="4" fillId="3" borderId="23" xfId="0" applyNumberFormat="1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164" fontId="2" fillId="4" borderId="38" xfId="0" applyNumberFormat="1" applyFont="1" applyFill="1" applyBorder="1" applyAlignment="1">
      <alignment horizontal="center"/>
    </xf>
    <xf numFmtId="164" fontId="2" fillId="4" borderId="34" xfId="0" applyNumberFormat="1" applyFont="1" applyFill="1" applyBorder="1" applyAlignment="1">
      <alignment horizontal="center"/>
    </xf>
    <xf numFmtId="164" fontId="2" fillId="4" borderId="37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164" fontId="0" fillId="0" borderId="0" xfId="0" applyNumberFormat="1"/>
    <xf numFmtId="0" fontId="9" fillId="0" borderId="16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2" fontId="9" fillId="0" borderId="17" xfId="0" applyNumberFormat="1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2" fontId="9" fillId="0" borderId="24" xfId="0" applyNumberFormat="1" applyFont="1" applyFill="1" applyBorder="1" applyAlignment="1">
      <alignment horizontal="center"/>
    </xf>
    <xf numFmtId="164" fontId="9" fillId="4" borderId="15" xfId="0" applyNumberFormat="1" applyFont="1" applyFill="1" applyBorder="1" applyAlignment="1">
      <alignment horizontal="center"/>
    </xf>
    <xf numFmtId="164" fontId="9" fillId="4" borderId="16" xfId="0" applyNumberFormat="1" applyFont="1" applyFill="1" applyBorder="1" applyAlignment="1">
      <alignment horizontal="center"/>
    </xf>
    <xf numFmtId="164" fontId="9" fillId="4" borderId="35" xfId="0" applyNumberFormat="1" applyFont="1" applyFill="1" applyBorder="1" applyAlignment="1">
      <alignment horizontal="center"/>
    </xf>
    <xf numFmtId="164" fontId="9" fillId="4" borderId="22" xfId="0" applyNumberFormat="1" applyFont="1" applyFill="1" applyBorder="1" applyAlignment="1">
      <alignment horizontal="center"/>
    </xf>
    <xf numFmtId="164" fontId="9" fillId="4" borderId="23" xfId="0" applyNumberFormat="1" applyFont="1" applyFill="1" applyBorder="1" applyAlignment="1">
      <alignment horizontal="center"/>
    </xf>
    <xf numFmtId="164" fontId="9" fillId="4" borderId="25" xfId="0" applyNumberFormat="1" applyFont="1" applyFill="1" applyBorder="1" applyAlignment="1">
      <alignment horizontal="center"/>
    </xf>
    <xf numFmtId="14" fontId="9" fillId="5" borderId="40" xfId="0" applyNumberFormat="1" applyFont="1" applyFill="1" applyBorder="1" applyAlignment="1">
      <alignment horizontal="center"/>
    </xf>
    <xf numFmtId="14" fontId="2" fillId="5" borderId="41" xfId="0" applyNumberFormat="1" applyFont="1" applyFill="1" applyBorder="1" applyAlignment="1">
      <alignment horizontal="center"/>
    </xf>
    <xf numFmtId="14" fontId="7" fillId="5" borderId="40" xfId="0" applyNumberFormat="1" applyFont="1" applyFill="1" applyBorder="1" applyAlignment="1">
      <alignment horizontal="center"/>
    </xf>
    <xf numFmtId="14" fontId="8" fillId="5" borderId="41" xfId="0" applyNumberFormat="1" applyFont="1" applyFill="1" applyBorder="1" applyAlignment="1">
      <alignment horizontal="center"/>
    </xf>
    <xf numFmtId="14" fontId="8" fillId="5" borderId="28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2" fontId="9" fillId="3" borderId="16" xfId="0" applyNumberFormat="1" applyFont="1" applyFill="1" applyBorder="1" applyAlignment="1">
      <alignment horizontal="center"/>
    </xf>
    <xf numFmtId="14" fontId="9" fillId="5" borderId="28" xfId="0" applyNumberFormat="1" applyFont="1" applyFill="1" applyBorder="1" applyAlignment="1">
      <alignment horizontal="center"/>
    </xf>
    <xf numFmtId="164" fontId="9" fillId="4" borderId="18" xfId="0" applyNumberFormat="1" applyFont="1" applyFill="1" applyBorder="1" applyAlignment="1">
      <alignment horizontal="center"/>
    </xf>
    <xf numFmtId="164" fontId="9" fillId="4" borderId="19" xfId="0" applyNumberFormat="1" applyFont="1" applyFill="1" applyBorder="1" applyAlignment="1">
      <alignment horizontal="center"/>
    </xf>
    <xf numFmtId="164" fontId="9" fillId="4" borderId="20" xfId="0" applyNumberFormat="1" applyFont="1" applyFill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0" fontId="9" fillId="0" borderId="30" xfId="0" applyFont="1" applyBorder="1"/>
    <xf numFmtId="165" fontId="6" fillId="0" borderId="0" xfId="0" applyNumberFormat="1" applyFont="1" applyBorder="1" applyAlignment="1">
      <alignment horizontal="center"/>
    </xf>
    <xf numFmtId="0" fontId="10" fillId="0" borderId="0" xfId="0" applyFont="1"/>
    <xf numFmtId="165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9" fillId="0" borderId="39" xfId="0" applyFont="1" applyBorder="1"/>
    <xf numFmtId="0" fontId="2" fillId="0" borderId="22" xfId="0" applyFont="1" applyFill="1" applyBorder="1"/>
    <xf numFmtId="0" fontId="2" fillId="0" borderId="22" xfId="0" applyFont="1" applyFill="1" applyBorder="1" applyAlignment="1">
      <alignment wrapText="1"/>
    </xf>
    <xf numFmtId="0" fontId="2" fillId="0" borderId="29" xfId="0" applyFont="1" applyFill="1" applyBorder="1"/>
    <xf numFmtId="0" fontId="6" fillId="0" borderId="22" xfId="0" applyFont="1" applyBorder="1"/>
    <xf numFmtId="17" fontId="2" fillId="7" borderId="23" xfId="0" applyNumberFormat="1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164" fontId="2" fillId="7" borderId="23" xfId="0" applyNumberFormat="1" applyFont="1" applyFill="1" applyBorder="1" applyAlignment="1">
      <alignment horizontal="center" vertical="center"/>
    </xf>
    <xf numFmtId="164" fontId="2" fillId="7" borderId="30" xfId="0" applyNumberFormat="1" applyFont="1" applyFill="1" applyBorder="1" applyAlignment="1">
      <alignment horizontal="center" vertical="center"/>
    </xf>
    <xf numFmtId="17" fontId="11" fillId="7" borderId="23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/>
    </xf>
    <xf numFmtId="0" fontId="9" fillId="4" borderId="7" xfId="0" applyFont="1" applyFill="1" applyBorder="1"/>
    <xf numFmtId="0" fontId="9" fillId="4" borderId="8" xfId="0" applyFont="1" applyFill="1" applyBorder="1"/>
    <xf numFmtId="0" fontId="9" fillId="4" borderId="13" xfId="0" applyFont="1" applyFill="1" applyBorder="1"/>
    <xf numFmtId="9" fontId="0" fillId="0" borderId="0" xfId="1" applyFont="1"/>
    <xf numFmtId="0" fontId="14" fillId="0" borderId="1" xfId="0" applyFont="1" applyFill="1" applyBorder="1"/>
    <xf numFmtId="0" fontId="17" fillId="0" borderId="0" xfId="0" applyFont="1"/>
    <xf numFmtId="0" fontId="18" fillId="0" borderId="1" xfId="0" applyFont="1" applyFill="1" applyBorder="1"/>
    <xf numFmtId="0" fontId="19" fillId="0" borderId="7" xfId="0" applyFont="1" applyFill="1" applyBorder="1" applyAlignment="1">
      <alignment wrapText="1"/>
    </xf>
    <xf numFmtId="0" fontId="19" fillId="0" borderId="8" xfId="0" applyFont="1" applyFill="1" applyBorder="1" applyAlignment="1">
      <alignment wrapText="1"/>
    </xf>
    <xf numFmtId="0" fontId="19" fillId="0" borderId="8" xfId="0" applyFont="1" applyFill="1" applyBorder="1" applyAlignment="1">
      <alignment horizontal="center" wrapText="1"/>
    </xf>
    <xf numFmtId="0" fontId="19" fillId="3" borderId="8" xfId="0" applyFont="1" applyFill="1" applyBorder="1" applyAlignment="1">
      <alignment wrapText="1"/>
    </xf>
    <xf numFmtId="0" fontId="19" fillId="0" borderId="9" xfId="0" applyFont="1" applyFill="1" applyBorder="1" applyAlignment="1">
      <alignment wrapText="1"/>
    </xf>
    <xf numFmtId="0" fontId="19" fillId="4" borderId="10" xfId="0" applyFont="1" applyFill="1" applyBorder="1" applyAlignment="1">
      <alignment horizontal="center" wrapText="1"/>
    </xf>
    <xf numFmtId="0" fontId="19" fillId="4" borderId="11" xfId="0" applyFont="1" applyFill="1" applyBorder="1" applyAlignment="1">
      <alignment horizontal="center" wrapText="1"/>
    </xf>
    <xf numFmtId="0" fontId="19" fillId="4" borderId="12" xfId="0" applyFont="1" applyFill="1" applyBorder="1" applyAlignment="1">
      <alignment horizontal="center" wrapText="1"/>
    </xf>
    <xf numFmtId="0" fontId="19" fillId="2" borderId="42" xfId="0" applyFont="1" applyFill="1" applyBorder="1" applyAlignment="1">
      <alignment horizontal="center" wrapText="1"/>
    </xf>
    <xf numFmtId="0" fontId="19" fillId="2" borderId="10" xfId="0" applyFont="1" applyFill="1" applyBorder="1" applyAlignment="1">
      <alignment horizontal="center" wrapText="1"/>
    </xf>
    <xf numFmtId="0" fontId="19" fillId="2" borderId="12" xfId="0" applyFont="1" applyFill="1" applyBorder="1" applyAlignment="1">
      <alignment horizontal="center" wrapText="1"/>
    </xf>
    <xf numFmtId="0" fontId="20" fillId="0" borderId="7" xfId="0" applyFont="1" applyFill="1" applyBorder="1" applyAlignment="1">
      <alignment wrapText="1"/>
    </xf>
    <xf numFmtId="0" fontId="20" fillId="0" borderId="8" xfId="0" applyFont="1" applyFill="1" applyBorder="1" applyAlignment="1">
      <alignment wrapText="1"/>
    </xf>
    <xf numFmtId="0" fontId="20" fillId="0" borderId="13" xfId="0" applyFont="1" applyFill="1" applyBorder="1" applyAlignment="1">
      <alignment horizontal="center" wrapText="1"/>
    </xf>
    <xf numFmtId="0" fontId="19" fillId="5" borderId="5" xfId="0" applyFont="1" applyFill="1" applyBorder="1" applyAlignment="1">
      <alignment horizontal="center" wrapText="1"/>
    </xf>
    <xf numFmtId="0" fontId="18" fillId="0" borderId="0" xfId="0" applyFont="1"/>
    <xf numFmtId="0" fontId="17" fillId="0" borderId="1" xfId="0" applyFont="1" applyFill="1" applyBorder="1"/>
    <xf numFmtId="0" fontId="21" fillId="0" borderId="8" xfId="0" applyFont="1" applyFill="1" applyBorder="1" applyAlignment="1">
      <alignment horizontal="center"/>
    </xf>
    <xf numFmtId="0" fontId="21" fillId="3" borderId="8" xfId="0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0" fontId="22" fillId="4" borderId="7" xfId="0" applyFont="1" applyFill="1" applyBorder="1"/>
    <xf numFmtId="0" fontId="22" fillId="4" borderId="8" xfId="0" applyFont="1" applyFill="1" applyBorder="1"/>
    <xf numFmtId="0" fontId="22" fillId="4" borderId="13" xfId="0" applyFont="1" applyFill="1" applyBorder="1"/>
    <xf numFmtId="0" fontId="17" fillId="2" borderId="3" xfId="0" applyFont="1" applyFill="1" applyBorder="1"/>
    <xf numFmtId="0" fontId="17" fillId="2" borderId="6" xfId="0" applyFont="1" applyFill="1" applyBorder="1"/>
    <xf numFmtId="14" fontId="23" fillId="5" borderId="6" xfId="0" applyNumberFormat="1" applyFont="1" applyFill="1" applyBorder="1"/>
    <xf numFmtId="0" fontId="14" fillId="0" borderId="14" xfId="0" applyFont="1" applyFill="1" applyBorder="1"/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3" borderId="16" xfId="0" applyFont="1" applyFill="1" applyBorder="1" applyAlignment="1">
      <alignment horizontal="center"/>
    </xf>
    <xf numFmtId="2" fontId="22" fillId="0" borderId="17" xfId="0" applyNumberFormat="1" applyFont="1" applyFill="1" applyBorder="1" applyAlignment="1">
      <alignment horizontal="center"/>
    </xf>
    <xf numFmtId="164" fontId="22" fillId="4" borderId="15" xfId="0" applyNumberFormat="1" applyFont="1" applyFill="1" applyBorder="1" applyAlignment="1">
      <alignment horizontal="center"/>
    </xf>
    <xf numFmtId="164" fontId="22" fillId="4" borderId="16" xfId="0" applyNumberFormat="1" applyFont="1" applyFill="1" applyBorder="1" applyAlignment="1">
      <alignment horizontal="center"/>
    </xf>
    <xf numFmtId="164" fontId="22" fillId="4" borderId="35" xfId="0" applyNumberFormat="1" applyFont="1" applyFill="1" applyBorder="1" applyAlignment="1">
      <alignment horizontal="center"/>
    </xf>
    <xf numFmtId="165" fontId="24" fillId="0" borderId="27" xfId="0" applyNumberFormat="1" applyFont="1" applyBorder="1" applyAlignment="1">
      <alignment horizontal="center"/>
    </xf>
    <xf numFmtId="165" fontId="24" fillId="0" borderId="20" xfId="0" applyNumberFormat="1" applyFont="1" applyBorder="1" applyAlignment="1">
      <alignment horizontal="center"/>
    </xf>
    <xf numFmtId="0" fontId="21" fillId="0" borderId="14" xfId="0" applyFont="1" applyFill="1" applyBorder="1"/>
    <xf numFmtId="0" fontId="22" fillId="0" borderId="22" xfId="0" applyFont="1" applyFill="1" applyBorder="1" applyAlignment="1">
      <alignment horizontal="center"/>
    </xf>
    <xf numFmtId="0" fontId="22" fillId="3" borderId="23" xfId="0" applyFont="1" applyFill="1" applyBorder="1" applyAlignment="1">
      <alignment horizontal="center"/>
    </xf>
    <xf numFmtId="2" fontId="22" fillId="0" borderId="24" xfId="0" applyNumberFormat="1" applyFont="1" applyFill="1" applyBorder="1" applyAlignment="1">
      <alignment horizontal="center"/>
    </xf>
    <xf numFmtId="164" fontId="22" fillId="4" borderId="22" xfId="0" applyNumberFormat="1" applyFont="1" applyFill="1" applyBorder="1" applyAlignment="1">
      <alignment horizontal="center"/>
    </xf>
    <xf numFmtId="164" fontId="22" fillId="4" borderId="23" xfId="0" applyNumberFormat="1" applyFont="1" applyFill="1" applyBorder="1" applyAlignment="1">
      <alignment horizontal="center"/>
    </xf>
    <xf numFmtId="164" fontId="22" fillId="4" borderId="25" xfId="0" applyNumberFormat="1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165" fontId="24" fillId="0" borderId="26" xfId="0" applyNumberFormat="1" applyFont="1" applyBorder="1" applyAlignment="1">
      <alignment horizontal="center"/>
    </xf>
    <xf numFmtId="165" fontId="24" fillId="0" borderId="23" xfId="0" applyNumberFormat="1" applyFont="1" applyBorder="1"/>
    <xf numFmtId="165" fontId="24" fillId="0" borderId="25" xfId="0" applyNumberFormat="1" applyFont="1" applyBorder="1"/>
    <xf numFmtId="0" fontId="15" fillId="0" borderId="28" xfId="0" applyFont="1" applyFill="1" applyBorder="1"/>
    <xf numFmtId="0" fontId="25" fillId="0" borderId="29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21" fillId="3" borderId="30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164" fontId="15" fillId="4" borderId="29" xfId="0" applyNumberFormat="1" applyFont="1" applyFill="1" applyBorder="1" applyAlignment="1">
      <alignment horizontal="center"/>
    </xf>
    <xf numFmtId="164" fontId="15" fillId="4" borderId="30" xfId="0" applyNumberFormat="1" applyFont="1" applyFill="1" applyBorder="1" applyAlignment="1">
      <alignment horizontal="center"/>
    </xf>
    <xf numFmtId="164" fontId="15" fillId="4" borderId="32" xfId="0" applyNumberFormat="1" applyFont="1" applyFill="1" applyBorder="1" applyAlignment="1">
      <alignment horizontal="center"/>
    </xf>
    <xf numFmtId="165" fontId="24" fillId="0" borderId="34" xfId="0" applyNumberFormat="1" applyFont="1" applyBorder="1"/>
    <xf numFmtId="165" fontId="24" fillId="0" borderId="37" xfId="0" applyNumberFormat="1" applyFont="1" applyBorder="1"/>
    <xf numFmtId="2" fontId="22" fillId="0" borderId="15" xfId="0" applyNumberFormat="1" applyFont="1" applyFill="1" applyBorder="1" applyAlignment="1">
      <alignment horizontal="center"/>
    </xf>
    <xf numFmtId="2" fontId="22" fillId="0" borderId="16" xfId="0" applyNumberFormat="1" applyFont="1" applyFill="1" applyBorder="1" applyAlignment="1">
      <alignment horizontal="center"/>
    </xf>
    <xf numFmtId="2" fontId="22" fillId="3" borderId="16" xfId="0" applyNumberFormat="1" applyFont="1" applyFill="1" applyBorder="1" applyAlignment="1">
      <alignment horizontal="center"/>
    </xf>
    <xf numFmtId="0" fontId="21" fillId="0" borderId="21" xfId="0" applyFont="1" applyFill="1" applyBorder="1"/>
    <xf numFmtId="0" fontId="21" fillId="0" borderId="23" xfId="0" applyFont="1" applyFill="1" applyBorder="1" applyAlignment="1">
      <alignment horizontal="center"/>
    </xf>
    <xf numFmtId="0" fontId="22" fillId="0" borderId="39" xfId="0" applyFont="1" applyBorder="1"/>
    <xf numFmtId="165" fontId="24" fillId="0" borderId="33" xfId="0" applyNumberFormat="1" applyFont="1" applyBorder="1"/>
    <xf numFmtId="0" fontId="14" fillId="0" borderId="36" xfId="0" applyFont="1" applyFill="1" applyBorder="1" applyAlignment="1">
      <alignment wrapText="1"/>
    </xf>
    <xf numFmtId="0" fontId="21" fillId="0" borderId="15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2" fontId="21" fillId="0" borderId="22" xfId="0" applyNumberFormat="1" applyFont="1" applyFill="1" applyBorder="1" applyAlignment="1">
      <alignment horizontal="center"/>
    </xf>
    <xf numFmtId="2" fontId="21" fillId="3" borderId="23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2" fillId="0" borderId="30" xfId="0" applyFont="1" applyBorder="1"/>
    <xf numFmtId="0" fontId="25" fillId="3" borderId="30" xfId="0" applyFont="1" applyFill="1" applyBorder="1" applyAlignment="1">
      <alignment horizontal="center"/>
    </xf>
    <xf numFmtId="0" fontId="14" fillId="0" borderId="14" xfId="0" applyFont="1" applyFill="1" applyBorder="1" applyAlignment="1">
      <alignment wrapText="1"/>
    </xf>
    <xf numFmtId="0" fontId="21" fillId="3" borderId="16" xfId="0" applyFont="1" applyFill="1" applyBorder="1" applyAlignment="1">
      <alignment horizontal="center"/>
    </xf>
    <xf numFmtId="2" fontId="21" fillId="0" borderId="17" xfId="0" applyNumberFormat="1" applyFont="1" applyFill="1" applyBorder="1" applyAlignment="1">
      <alignment horizontal="center"/>
    </xf>
    <xf numFmtId="0" fontId="21" fillId="3" borderId="23" xfId="0" applyFont="1" applyFill="1" applyBorder="1" applyAlignment="1">
      <alignment horizontal="center"/>
    </xf>
    <xf numFmtId="2" fontId="21" fillId="0" borderId="24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 horizontal="left"/>
    </xf>
    <xf numFmtId="164" fontId="15" fillId="4" borderId="38" xfId="0" applyNumberFormat="1" applyFont="1" applyFill="1" applyBorder="1" applyAlignment="1">
      <alignment horizontal="center"/>
    </xf>
    <xf numFmtId="164" fontId="15" fillId="4" borderId="34" xfId="0" applyNumberFormat="1" applyFont="1" applyFill="1" applyBorder="1" applyAlignment="1">
      <alignment horizontal="center"/>
    </xf>
    <xf numFmtId="164" fontId="15" fillId="4" borderId="37" xfId="0" applyNumberFormat="1" applyFont="1" applyFill="1" applyBorder="1" applyAlignment="1">
      <alignment horizontal="center"/>
    </xf>
    <xf numFmtId="164" fontId="22" fillId="4" borderId="18" xfId="0" applyNumberFormat="1" applyFont="1" applyFill="1" applyBorder="1" applyAlignment="1">
      <alignment horizontal="center"/>
    </xf>
    <xf numFmtId="164" fontId="22" fillId="4" borderId="19" xfId="0" applyNumberFormat="1" applyFont="1" applyFill="1" applyBorder="1" applyAlignment="1">
      <alignment horizontal="center"/>
    </xf>
    <xf numFmtId="164" fontId="22" fillId="4" borderId="20" xfId="0" applyNumberFormat="1" applyFont="1" applyFill="1" applyBorder="1" applyAlignment="1">
      <alignment horizontal="center"/>
    </xf>
    <xf numFmtId="165" fontId="24" fillId="0" borderId="29" xfId="0" applyNumberFormat="1" applyFont="1" applyBorder="1"/>
    <xf numFmtId="165" fontId="24" fillId="0" borderId="30" xfId="0" applyNumberFormat="1" applyFont="1" applyBorder="1"/>
    <xf numFmtId="165" fontId="24" fillId="0" borderId="32" xfId="0" applyNumberFormat="1" applyFont="1" applyBorder="1"/>
    <xf numFmtId="165" fontId="17" fillId="0" borderId="0" xfId="0" applyNumberFormat="1" applyFont="1" applyBorder="1" applyAlignment="1">
      <alignment horizontal="center"/>
    </xf>
    <xf numFmtId="0" fontId="17" fillId="0" borderId="0" xfId="0" applyFont="1" applyBorder="1"/>
    <xf numFmtId="165" fontId="24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0" fontId="24" fillId="2" borderId="15" xfId="0" applyNumberFormat="1" applyFont="1" applyFill="1" applyBorder="1" applyAlignment="1">
      <alignment horizontal="center"/>
    </xf>
    <xf numFmtId="10" fontId="24" fillId="2" borderId="16" xfId="0" applyNumberFormat="1" applyFont="1" applyFill="1" applyBorder="1" applyAlignment="1">
      <alignment horizontal="center"/>
    </xf>
    <xf numFmtId="10" fontId="24" fillId="2" borderId="35" xfId="0" applyNumberFormat="1" applyFont="1" applyFill="1" applyBorder="1" applyAlignment="1">
      <alignment horizontal="center"/>
    </xf>
    <xf numFmtId="10" fontId="24" fillId="2" borderId="22" xfId="0" applyNumberFormat="1" applyFont="1" applyFill="1" applyBorder="1" applyAlignment="1">
      <alignment horizontal="center"/>
    </xf>
    <xf numFmtId="10" fontId="24" fillId="2" borderId="23" xfId="0" applyNumberFormat="1" applyFont="1" applyFill="1" applyBorder="1" applyAlignment="1">
      <alignment horizontal="center"/>
    </xf>
    <xf numFmtId="10" fontId="24" fillId="2" borderId="25" xfId="0" applyNumberFormat="1" applyFont="1" applyFill="1" applyBorder="1" applyAlignment="1">
      <alignment horizontal="center"/>
    </xf>
    <xf numFmtId="10" fontId="24" fillId="2" borderId="29" xfId="0" applyNumberFormat="1" applyFont="1" applyFill="1" applyBorder="1" applyAlignment="1">
      <alignment horizontal="center"/>
    </xf>
    <xf numFmtId="10" fontId="24" fillId="2" borderId="30" xfId="0" applyNumberFormat="1" applyFont="1" applyFill="1" applyBorder="1" applyAlignment="1">
      <alignment horizontal="center"/>
    </xf>
    <xf numFmtId="10" fontId="24" fillId="2" borderId="32" xfId="0" applyNumberFormat="1" applyFont="1" applyFill="1" applyBorder="1" applyAlignment="1">
      <alignment horizontal="center"/>
    </xf>
    <xf numFmtId="10" fontId="24" fillId="2" borderId="18" xfId="0" applyNumberFormat="1" applyFont="1" applyFill="1" applyBorder="1" applyAlignment="1">
      <alignment horizontal="center"/>
    </xf>
    <xf numFmtId="10" fontId="24" fillId="2" borderId="19" xfId="0" applyNumberFormat="1" applyFont="1" applyFill="1" applyBorder="1" applyAlignment="1">
      <alignment horizontal="center"/>
    </xf>
    <xf numFmtId="10" fontId="24" fillId="2" borderId="20" xfId="0" applyNumberFormat="1" applyFont="1" applyFill="1" applyBorder="1" applyAlignment="1">
      <alignment horizontal="center"/>
    </xf>
    <xf numFmtId="10" fontId="11" fillId="6" borderId="25" xfId="1" applyNumberFormat="1" applyFont="1" applyFill="1" applyBorder="1" applyAlignment="1">
      <alignment horizontal="center" vertical="center"/>
    </xf>
    <xf numFmtId="10" fontId="11" fillId="6" borderId="32" xfId="1" applyNumberFormat="1" applyFont="1" applyFill="1" applyBorder="1" applyAlignment="1">
      <alignment horizontal="center" vertical="center"/>
    </xf>
    <xf numFmtId="10" fontId="11" fillId="6" borderId="25" xfId="0" applyNumberFormat="1" applyFont="1" applyFill="1" applyBorder="1" applyAlignment="1">
      <alignment horizontal="center" vertical="center"/>
    </xf>
    <xf numFmtId="10" fontId="11" fillId="6" borderId="3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165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2" fillId="0" borderId="18" xfId="0" applyFont="1" applyFill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3.xml"/><Relationship Id="rId4" Type="http://schemas.openxmlformats.org/officeDocument/2006/relationships/chartsheet" Target="chart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2400" b="1" i="0" baseline="0"/>
              <a:t>Raforkukostnaður</a:t>
            </a:r>
          </a:p>
          <a:p>
            <a:pPr algn="ctr">
              <a:defRPr/>
            </a:pPr>
            <a:r>
              <a:rPr lang="en-US" sz="2400" b="1" i="0" baseline="0"/>
              <a:t> </a:t>
            </a:r>
            <a:r>
              <a:rPr lang="en-US" sz="1600" b="1" i="0" baseline="0"/>
              <a:t>Flutningur, dreifing og orka - 4.000 kWst/ári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0662487222699942E-2"/>
          <c:y val="0.20622019116443843"/>
          <c:w val="0.88835055225986925"/>
          <c:h val="0.665263356511454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'4000 kwst'!$B$2</c:f>
              <c:strCache>
                <c:ptCount val="1"/>
                <c:pt idx="0">
                  <c:v>ágú.13</c:v>
                </c:pt>
              </c:strCache>
            </c:strRef>
          </c:tx>
          <c:invertIfNegative val="0"/>
          <c:cat>
            <c:strRef>
              <c:f>'4000 kwst'!$A$3:$A$10</c:f>
              <c:strCache>
                <c:ptCount val="8"/>
                <c:pt idx="0">
                  <c:v>Orkuveita Reykjavíkur / Orka Náttúrunnar</c:v>
                </c:pt>
                <c:pt idx="1">
                  <c:v>Norðurorka / Fallorka</c:v>
                </c:pt>
                <c:pt idx="2">
                  <c:v>HS orka/HS veita</c:v>
                </c:pt>
                <c:pt idx="3">
                  <c:v>Orkubú Vestfjarða þéttbýli</c:v>
                </c:pt>
                <c:pt idx="4">
                  <c:v>Orkubú Vestfjarða dreifbýli </c:v>
                </c:pt>
                <c:pt idx="5">
                  <c:v>RARIK þéttbýli/Orkusalan </c:v>
                </c:pt>
                <c:pt idx="6">
                  <c:v>RARIK dreifbýli/Orkusalan </c:v>
                </c:pt>
                <c:pt idx="7">
                  <c:v>Rafveita Reyðarfjarðar </c:v>
                </c:pt>
              </c:strCache>
            </c:strRef>
          </c:cat>
          <c:val>
            <c:numRef>
              <c:f>'4000 kwst'!$B$3:$B$10</c:f>
              <c:numCache>
                <c:formatCode>#,##0\ _k_r_.</c:formatCode>
                <c:ptCount val="8"/>
                <c:pt idx="0">
                  <c:v>68556.131999999998</c:v>
                </c:pt>
                <c:pt idx="1">
                  <c:v>62299.203999999998</c:v>
                </c:pt>
                <c:pt idx="2">
                  <c:v>64976.871999999981</c:v>
                </c:pt>
                <c:pt idx="3">
                  <c:v>71054.334999999992</c:v>
                </c:pt>
                <c:pt idx="4">
                  <c:v>94544.17</c:v>
                </c:pt>
                <c:pt idx="5">
                  <c:v>73068.609999999986</c:v>
                </c:pt>
                <c:pt idx="6">
                  <c:v>96961.299999999988</c:v>
                </c:pt>
                <c:pt idx="7">
                  <c:v>67424.874999999985</c:v>
                </c:pt>
              </c:numCache>
            </c:numRef>
          </c:val>
        </c:ser>
        <c:ser>
          <c:idx val="1"/>
          <c:order val="1"/>
          <c:tx>
            <c:strRef>
              <c:f>'4000 kwst'!$C$2</c:f>
              <c:strCache>
                <c:ptCount val="1"/>
                <c:pt idx="0">
                  <c:v>jan.14</c:v>
                </c:pt>
              </c:strCache>
            </c:strRef>
          </c:tx>
          <c:invertIfNegative val="0"/>
          <c:cat>
            <c:strRef>
              <c:f>'4000 kwst'!$A$3:$A$10</c:f>
              <c:strCache>
                <c:ptCount val="8"/>
                <c:pt idx="0">
                  <c:v>Orkuveita Reykjavíkur / Orka Náttúrunnar</c:v>
                </c:pt>
                <c:pt idx="1">
                  <c:v>Norðurorka / Fallorka</c:v>
                </c:pt>
                <c:pt idx="2">
                  <c:v>HS orka/HS veita</c:v>
                </c:pt>
                <c:pt idx="3">
                  <c:v>Orkubú Vestfjarða þéttbýli</c:v>
                </c:pt>
                <c:pt idx="4">
                  <c:v>Orkubú Vestfjarða dreifbýli </c:v>
                </c:pt>
                <c:pt idx="5">
                  <c:v>RARIK þéttbýli/Orkusalan </c:v>
                </c:pt>
                <c:pt idx="6">
                  <c:v>RARIK dreifbýli/Orkusalan </c:v>
                </c:pt>
                <c:pt idx="7">
                  <c:v>Rafveita Reyðarfjarðar </c:v>
                </c:pt>
              </c:strCache>
            </c:strRef>
          </c:cat>
          <c:val>
            <c:numRef>
              <c:f>'4000 kwst'!$C$3:$C$10</c:f>
              <c:numCache>
                <c:formatCode>#,##0\ _k_r_.</c:formatCode>
                <c:ptCount val="8"/>
                <c:pt idx="0">
                  <c:v>69472.282000000007</c:v>
                </c:pt>
                <c:pt idx="1">
                  <c:v>62319.284</c:v>
                </c:pt>
                <c:pt idx="2">
                  <c:v>65147.552000000003</c:v>
                </c:pt>
                <c:pt idx="3">
                  <c:v>71074.415000000008</c:v>
                </c:pt>
                <c:pt idx="4">
                  <c:v>94564.25</c:v>
                </c:pt>
                <c:pt idx="5">
                  <c:v>73088.69</c:v>
                </c:pt>
                <c:pt idx="6">
                  <c:v>100322.18999999999</c:v>
                </c:pt>
                <c:pt idx="7">
                  <c:v>69304.864999999991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754688"/>
        <c:axId val="136756224"/>
      </c:barChart>
      <c:catAx>
        <c:axId val="1367546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is-IS"/>
          </a:p>
        </c:txPr>
        <c:crossAx val="136756224"/>
        <c:crosses val="autoZero"/>
        <c:auto val="1"/>
        <c:lblAlgn val="ctr"/>
        <c:lblOffset val="100"/>
        <c:noMultiLvlLbl val="0"/>
      </c:catAx>
      <c:valAx>
        <c:axId val="136756224"/>
        <c:scaling>
          <c:orientation val="minMax"/>
        </c:scaling>
        <c:delete val="0"/>
        <c:axPos val="l"/>
        <c:majorGridlines/>
        <c:numFmt formatCode="#,##0\ _k_r_.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is-IS"/>
          </a:p>
        </c:txPr>
        <c:crossAx val="136754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98156500659299"/>
          <c:y val="0.14601141628738804"/>
          <c:w val="7.8345658974439167E-2"/>
          <c:h val="0.10065743453258269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400" b="1"/>
          </a:pPr>
          <a:endParaRPr lang="is-IS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2400" b="1" i="0" baseline="0"/>
              <a:t>Flutningur og dreifing á raforku</a:t>
            </a:r>
            <a:endParaRPr lang="en-US" sz="2400"/>
          </a:p>
          <a:p>
            <a:pPr algn="ctr">
              <a:defRPr/>
            </a:pPr>
            <a:r>
              <a:rPr lang="en-US" sz="1800" b="1" i="0" baseline="0"/>
              <a:t>4.000 kWst/ári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0662487222699942E-2"/>
          <c:y val="0.19995805519423634"/>
          <c:w val="0.88835055225986925"/>
          <c:h val="0.671525492481656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'4000 kwst'!$B$14</c:f>
              <c:strCache>
                <c:ptCount val="1"/>
                <c:pt idx="0">
                  <c:v>ágú.13</c:v>
                </c:pt>
              </c:strCache>
            </c:strRef>
          </c:tx>
          <c:invertIfNegative val="0"/>
          <c:cat>
            <c:strRef>
              <c:f>'4000 kwst'!$A$15:$A$22</c:f>
              <c:strCache>
                <c:ptCount val="8"/>
                <c:pt idx="0">
                  <c:v>Orkuveita Reykjavíkur</c:v>
                </c:pt>
                <c:pt idx="1">
                  <c:v>Norðurorka </c:v>
                </c:pt>
                <c:pt idx="2">
                  <c:v>HS veita</c:v>
                </c:pt>
                <c:pt idx="3">
                  <c:v>Orkubú Vestfjarða þéttbýli</c:v>
                </c:pt>
                <c:pt idx="4">
                  <c:v>Orkubú Vestfjarða dreifbýli </c:v>
                </c:pt>
                <c:pt idx="5">
                  <c:v>RARIK þéttbýli</c:v>
                </c:pt>
                <c:pt idx="6">
                  <c:v>RARIK dreifbýli</c:v>
                </c:pt>
                <c:pt idx="7">
                  <c:v>Rafveita Reyðarfjarðar </c:v>
                </c:pt>
              </c:strCache>
            </c:strRef>
          </c:cat>
          <c:val>
            <c:numRef>
              <c:f>'4000 kwst'!$B$15:$B$22</c:f>
              <c:numCache>
                <c:formatCode>#,##0\ _k_r_.</c:formatCode>
                <c:ptCount val="8"/>
                <c:pt idx="0">
                  <c:v>42422.011999999995</c:v>
                </c:pt>
                <c:pt idx="1">
                  <c:v>36616.883999999998</c:v>
                </c:pt>
                <c:pt idx="2">
                  <c:v>38842.751999999993</c:v>
                </c:pt>
                <c:pt idx="3">
                  <c:v>46024.614999999991</c:v>
                </c:pt>
                <c:pt idx="4">
                  <c:v>69514.449999999983</c:v>
                </c:pt>
                <c:pt idx="5">
                  <c:v>47235.69</c:v>
                </c:pt>
                <c:pt idx="6">
                  <c:v>71128.38</c:v>
                </c:pt>
                <c:pt idx="7">
                  <c:v>42194.354999999996</c:v>
                </c:pt>
              </c:numCache>
            </c:numRef>
          </c:val>
        </c:ser>
        <c:ser>
          <c:idx val="1"/>
          <c:order val="1"/>
          <c:tx>
            <c:strRef>
              <c:f>'4000 kwst'!$C$14</c:f>
              <c:strCache>
                <c:ptCount val="1"/>
                <c:pt idx="0">
                  <c:v>jan.14</c:v>
                </c:pt>
              </c:strCache>
            </c:strRef>
          </c:tx>
          <c:invertIfNegative val="0"/>
          <c:cat>
            <c:strRef>
              <c:f>'4000 kwst'!$A$15:$A$22</c:f>
              <c:strCache>
                <c:ptCount val="8"/>
                <c:pt idx="0">
                  <c:v>Orkuveita Reykjavíkur</c:v>
                </c:pt>
                <c:pt idx="1">
                  <c:v>Norðurorka </c:v>
                </c:pt>
                <c:pt idx="2">
                  <c:v>HS veita</c:v>
                </c:pt>
                <c:pt idx="3">
                  <c:v>Orkubú Vestfjarða þéttbýli</c:v>
                </c:pt>
                <c:pt idx="4">
                  <c:v>Orkubú Vestfjarða dreifbýli </c:v>
                </c:pt>
                <c:pt idx="5">
                  <c:v>RARIK þéttbýli</c:v>
                </c:pt>
                <c:pt idx="6">
                  <c:v>RARIK dreifbýli</c:v>
                </c:pt>
                <c:pt idx="7">
                  <c:v>Rafveita Reyðarfjarðar </c:v>
                </c:pt>
              </c:strCache>
            </c:strRef>
          </c:cat>
          <c:val>
            <c:numRef>
              <c:f>'4000 kwst'!$C$15:$C$22</c:f>
              <c:numCache>
                <c:formatCode>#,##0\ _k_r_.</c:formatCode>
                <c:ptCount val="8"/>
                <c:pt idx="0">
                  <c:v>43318.082000000002</c:v>
                </c:pt>
                <c:pt idx="1">
                  <c:v>36616.883999999998</c:v>
                </c:pt>
                <c:pt idx="2">
                  <c:v>38993.351999999992</c:v>
                </c:pt>
                <c:pt idx="3">
                  <c:v>46024.614999999991</c:v>
                </c:pt>
                <c:pt idx="4">
                  <c:v>69514.449999999983</c:v>
                </c:pt>
                <c:pt idx="5">
                  <c:v>47235.69</c:v>
                </c:pt>
                <c:pt idx="6">
                  <c:v>74469.19</c:v>
                </c:pt>
                <c:pt idx="7">
                  <c:v>43451.864999999991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307520"/>
        <c:axId val="143309056"/>
      </c:barChart>
      <c:catAx>
        <c:axId val="1433075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is-IS"/>
          </a:p>
        </c:txPr>
        <c:crossAx val="143309056"/>
        <c:crosses val="autoZero"/>
        <c:auto val="1"/>
        <c:lblAlgn val="ctr"/>
        <c:lblOffset val="100"/>
        <c:noMultiLvlLbl val="0"/>
      </c:catAx>
      <c:valAx>
        <c:axId val="143309056"/>
        <c:scaling>
          <c:orientation val="minMax"/>
        </c:scaling>
        <c:delete val="0"/>
        <c:axPos val="l"/>
        <c:majorGridlines/>
        <c:numFmt formatCode="#,##0\ _k_r_.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is-IS"/>
          </a:p>
        </c:txPr>
        <c:crossAx val="143307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98156500659299"/>
          <c:y val="0.14601141628738804"/>
          <c:w val="7.8345658974439167E-2"/>
          <c:h val="0.10065743453258269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400" b="1"/>
          </a:pPr>
          <a:endParaRPr lang="is-IS"/>
        </a:p>
      </c:txPr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2400" b="1" i="0" baseline="0"/>
              <a:t>Orkusala</a:t>
            </a:r>
            <a:endParaRPr lang="en-US" sz="2400"/>
          </a:p>
          <a:p>
            <a:pPr algn="ctr">
              <a:defRPr/>
            </a:pPr>
            <a:r>
              <a:rPr lang="en-US" sz="1800" b="1" i="0" baseline="0"/>
              <a:t>4.000 kWst/ári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0662487222699942E-2"/>
          <c:y val="0.20204543385097037"/>
          <c:w val="0.88835055225986925"/>
          <c:h val="0.669438113824922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'4000 kwst'!$B$27</c:f>
              <c:strCache>
                <c:ptCount val="1"/>
                <c:pt idx="0">
                  <c:v>ágú.13</c:v>
                </c:pt>
              </c:strCache>
            </c:strRef>
          </c:tx>
          <c:invertIfNegative val="0"/>
          <c:cat>
            <c:strRef>
              <c:f>'4000 kwst'!$A$28:$A$35</c:f>
              <c:strCache>
                <c:ptCount val="8"/>
                <c:pt idx="0">
                  <c:v>Orka Náttúrunnar</c:v>
                </c:pt>
                <c:pt idx="1">
                  <c:v>Fallorka</c:v>
                </c:pt>
                <c:pt idx="2">
                  <c:v>HS orka</c:v>
                </c:pt>
                <c:pt idx="3">
                  <c:v>Orkubú Vestfjarða þéttbýli</c:v>
                </c:pt>
                <c:pt idx="4">
                  <c:v>Orkubú Vestfjarða dreifbýli </c:v>
                </c:pt>
                <c:pt idx="5">
                  <c:v>Orkusalan þéttbýli</c:v>
                </c:pt>
                <c:pt idx="6">
                  <c:v>Orkusalan dreifbýli</c:v>
                </c:pt>
                <c:pt idx="7">
                  <c:v>Rafveita Reyðarfjarðar </c:v>
                </c:pt>
              </c:strCache>
            </c:strRef>
          </c:cat>
          <c:val>
            <c:numRef>
              <c:f>'4000 kwst'!$B$28:$B$35</c:f>
              <c:numCache>
                <c:formatCode>#,##0\ _k_r_.</c:formatCode>
                <c:ptCount val="8"/>
                <c:pt idx="0">
                  <c:v>26134.12</c:v>
                </c:pt>
                <c:pt idx="1">
                  <c:v>25682.32</c:v>
                </c:pt>
                <c:pt idx="2">
                  <c:v>26134.12</c:v>
                </c:pt>
                <c:pt idx="3">
                  <c:v>25029.72</c:v>
                </c:pt>
                <c:pt idx="4">
                  <c:v>25029.72</c:v>
                </c:pt>
                <c:pt idx="5">
                  <c:v>25832.92</c:v>
                </c:pt>
                <c:pt idx="6">
                  <c:v>25832.92</c:v>
                </c:pt>
                <c:pt idx="7">
                  <c:v>25230.52</c:v>
                </c:pt>
              </c:numCache>
            </c:numRef>
          </c:val>
        </c:ser>
        <c:ser>
          <c:idx val="1"/>
          <c:order val="1"/>
          <c:tx>
            <c:strRef>
              <c:f>'4000 kwst'!$C$27</c:f>
              <c:strCache>
                <c:ptCount val="1"/>
                <c:pt idx="0">
                  <c:v>jan.14</c:v>
                </c:pt>
              </c:strCache>
            </c:strRef>
          </c:tx>
          <c:invertIfNegative val="0"/>
          <c:cat>
            <c:strRef>
              <c:f>'4000 kwst'!$A$28:$A$35</c:f>
              <c:strCache>
                <c:ptCount val="8"/>
                <c:pt idx="0">
                  <c:v>Orka Náttúrunnar</c:v>
                </c:pt>
                <c:pt idx="1">
                  <c:v>Fallorka</c:v>
                </c:pt>
                <c:pt idx="2">
                  <c:v>HS orka</c:v>
                </c:pt>
                <c:pt idx="3">
                  <c:v>Orkubú Vestfjarða þéttbýli</c:v>
                </c:pt>
                <c:pt idx="4">
                  <c:v>Orkubú Vestfjarða dreifbýli </c:v>
                </c:pt>
                <c:pt idx="5">
                  <c:v>Orkusalan þéttbýli</c:v>
                </c:pt>
                <c:pt idx="6">
                  <c:v>Orkusalan dreifbýli</c:v>
                </c:pt>
                <c:pt idx="7">
                  <c:v>Rafveita Reyðarfjarðar </c:v>
                </c:pt>
              </c:strCache>
            </c:strRef>
          </c:cat>
          <c:val>
            <c:numRef>
              <c:f>'4000 kwst'!$C$28:$C$35</c:f>
              <c:numCache>
                <c:formatCode>#,##0\ _k_r_.</c:formatCode>
                <c:ptCount val="8"/>
                <c:pt idx="0">
                  <c:v>26154.199999999997</c:v>
                </c:pt>
                <c:pt idx="1">
                  <c:v>25702.399999999998</c:v>
                </c:pt>
                <c:pt idx="2">
                  <c:v>26154.199999999997</c:v>
                </c:pt>
                <c:pt idx="3">
                  <c:v>25049.8</c:v>
                </c:pt>
                <c:pt idx="4">
                  <c:v>25049.8</c:v>
                </c:pt>
                <c:pt idx="5">
                  <c:v>25852.999999999993</c:v>
                </c:pt>
                <c:pt idx="6">
                  <c:v>25852.999999999993</c:v>
                </c:pt>
                <c:pt idx="7">
                  <c:v>25852.999999999993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059200"/>
        <c:axId val="145081472"/>
      </c:barChart>
      <c:catAx>
        <c:axId val="1450592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is-IS"/>
          </a:p>
        </c:txPr>
        <c:crossAx val="145081472"/>
        <c:crosses val="autoZero"/>
        <c:auto val="1"/>
        <c:lblAlgn val="ctr"/>
        <c:lblOffset val="100"/>
        <c:noMultiLvlLbl val="0"/>
      </c:catAx>
      <c:valAx>
        <c:axId val="145081472"/>
        <c:scaling>
          <c:orientation val="minMax"/>
          <c:min val="0"/>
        </c:scaling>
        <c:delete val="0"/>
        <c:axPos val="l"/>
        <c:majorGridlines/>
        <c:numFmt formatCode="#,##0\ _k_r_.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is-IS"/>
          </a:p>
        </c:txPr>
        <c:crossAx val="145059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117961024488358"/>
          <c:y val="0.14183672228298083"/>
          <c:w val="7.8345658974439167E-2"/>
          <c:h val="0.10065743453258269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400" b="1"/>
          </a:pPr>
          <a:endParaRPr lang="is-I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9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8"/>
  <sheetViews>
    <sheetView zoomScale="129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30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0872" cy="608418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0872" cy="608418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34"/>
  <sheetViews>
    <sheetView tabSelected="1" zoomScale="85" zoomScaleNormal="85" workbookViewId="0">
      <pane xSplit="1" topLeftCell="B1" activePane="topRight" state="frozen"/>
      <selection activeCell="A8" sqref="A8"/>
      <selection pane="topRight" activeCell="I35" sqref="I35"/>
    </sheetView>
  </sheetViews>
  <sheetFormatPr defaultRowHeight="15" x14ac:dyDescent="0.25"/>
  <cols>
    <col min="1" max="1" width="50.5703125" style="64" customWidth="1"/>
    <col min="2" max="2" width="10" style="64" customWidth="1"/>
    <col min="3" max="3" width="9.5703125" style="64" bestFit="1" customWidth="1"/>
    <col min="4" max="4" width="10.28515625" style="64" bestFit="1" customWidth="1"/>
    <col min="5" max="5" width="7.5703125" style="64" bestFit="1" customWidth="1"/>
    <col min="6" max="7" width="8.42578125" style="64" bestFit="1" customWidth="1"/>
    <col min="8" max="9" width="9.7109375" style="64" bestFit="1" customWidth="1"/>
    <col min="10" max="10" width="10.7109375" style="64" bestFit="1" customWidth="1"/>
    <col min="11" max="11" width="10.5703125" style="64" customWidth="1"/>
    <col min="12" max="12" width="9.5703125" style="64" bestFit="1" customWidth="1"/>
    <col min="13" max="13" width="10.28515625" style="64" bestFit="1" customWidth="1"/>
    <col min="14" max="14" width="7.5703125" style="64" bestFit="1" customWidth="1"/>
    <col min="15" max="15" width="10" style="64" customWidth="1"/>
    <col min="16" max="16" width="8.42578125" style="64" bestFit="1" customWidth="1"/>
    <col min="17" max="17" width="9.7109375" style="64" bestFit="1" customWidth="1"/>
    <col min="18" max="19" width="10.7109375" style="64" bestFit="1" customWidth="1"/>
    <col min="20" max="22" width="8.42578125" style="64" bestFit="1" customWidth="1"/>
    <col min="23" max="23" width="10" style="64" customWidth="1"/>
    <col min="24" max="24" width="9.5703125" style="64" bestFit="1" customWidth="1"/>
    <col min="25" max="25" width="6.140625" style="64" bestFit="1" customWidth="1"/>
    <col min="26" max="26" width="11.42578125" style="64" bestFit="1" customWidth="1"/>
    <col min="27" max="27" width="11.42578125" style="64" customWidth="1"/>
    <col min="28" max="29" width="9.140625" style="64"/>
  </cols>
  <sheetData>
    <row r="1" spans="1:27" ht="15.75" customHeight="1" thickBot="1" x14ac:dyDescent="0.3"/>
    <row r="2" spans="1:27" s="83" customFormat="1" ht="32.25" customHeight="1" thickBot="1" x14ac:dyDescent="0.3">
      <c r="A2" s="82" t="s">
        <v>0</v>
      </c>
      <c r="B2" s="193" t="s">
        <v>44</v>
      </c>
      <c r="C2" s="194"/>
      <c r="D2" s="194"/>
      <c r="E2" s="194"/>
      <c r="F2" s="194"/>
      <c r="G2" s="194"/>
      <c r="H2" s="195"/>
      <c r="I2" s="195"/>
      <c r="J2" s="196"/>
      <c r="K2" s="203" t="s">
        <v>49</v>
      </c>
      <c r="L2" s="204"/>
      <c r="M2" s="204"/>
      <c r="N2" s="204"/>
      <c r="O2" s="204"/>
      <c r="P2" s="204"/>
      <c r="Q2" s="205"/>
      <c r="R2" s="205"/>
      <c r="S2" s="206"/>
      <c r="T2" s="207" t="s">
        <v>50</v>
      </c>
      <c r="U2" s="208"/>
      <c r="V2" s="209"/>
      <c r="W2" s="210" t="s">
        <v>17</v>
      </c>
      <c r="X2" s="211"/>
      <c r="Y2" s="212"/>
      <c r="Z2" s="197" t="s">
        <v>1</v>
      </c>
      <c r="AA2" s="198"/>
    </row>
    <row r="3" spans="1:27" s="100" customFormat="1" ht="49.5" customHeight="1" thickBot="1" x14ac:dyDescent="0.25">
      <c r="A3" s="84"/>
      <c r="B3" s="85" t="s">
        <v>2</v>
      </c>
      <c r="C3" s="86" t="s">
        <v>3</v>
      </c>
      <c r="D3" s="87" t="s">
        <v>4</v>
      </c>
      <c r="E3" s="87" t="s">
        <v>5</v>
      </c>
      <c r="F3" s="88" t="s">
        <v>6</v>
      </c>
      <c r="G3" s="89" t="s">
        <v>7</v>
      </c>
      <c r="H3" s="90" t="s">
        <v>8</v>
      </c>
      <c r="I3" s="91" t="s">
        <v>9</v>
      </c>
      <c r="J3" s="92" t="s">
        <v>10</v>
      </c>
      <c r="K3" s="1" t="s">
        <v>2</v>
      </c>
      <c r="L3" s="2" t="s">
        <v>3</v>
      </c>
      <c r="M3" s="3" t="s">
        <v>4</v>
      </c>
      <c r="N3" s="3" t="s">
        <v>5</v>
      </c>
      <c r="O3" s="4" t="s">
        <v>6</v>
      </c>
      <c r="P3" s="5" t="s">
        <v>7</v>
      </c>
      <c r="Q3" s="6" t="s">
        <v>8</v>
      </c>
      <c r="R3" s="7" t="s">
        <v>9</v>
      </c>
      <c r="S3" s="8" t="s">
        <v>10</v>
      </c>
      <c r="T3" s="93" t="s">
        <v>8</v>
      </c>
      <c r="U3" s="94" t="s">
        <v>9</v>
      </c>
      <c r="V3" s="95" t="s">
        <v>10</v>
      </c>
      <c r="W3" s="96" t="s">
        <v>2</v>
      </c>
      <c r="X3" s="97" t="s">
        <v>3</v>
      </c>
      <c r="Y3" s="98" t="s">
        <v>4</v>
      </c>
      <c r="Z3" s="99" t="s">
        <v>26</v>
      </c>
      <c r="AA3" s="99" t="s">
        <v>25</v>
      </c>
    </row>
    <row r="4" spans="1:27" s="83" customFormat="1" ht="15.75" thickBot="1" x14ac:dyDescent="0.3">
      <c r="A4" s="101"/>
      <c r="B4" s="105"/>
      <c r="C4" s="102"/>
      <c r="D4" s="102"/>
      <c r="E4" s="102"/>
      <c r="F4" s="103"/>
      <c r="G4" s="104"/>
      <c r="H4" s="106"/>
      <c r="I4" s="107"/>
      <c r="J4" s="108"/>
      <c r="K4" s="30"/>
      <c r="L4" s="29"/>
      <c r="M4" s="29"/>
      <c r="N4" s="29"/>
      <c r="O4" s="31"/>
      <c r="P4" s="53"/>
      <c r="Q4" s="78"/>
      <c r="R4" s="79"/>
      <c r="S4" s="80"/>
      <c r="T4" s="109"/>
      <c r="U4" s="109"/>
      <c r="V4" s="110"/>
      <c r="Z4" s="111"/>
      <c r="AA4" s="111"/>
    </row>
    <row r="5" spans="1:27" s="83" customFormat="1" ht="31.5" x14ac:dyDescent="0.25">
      <c r="A5" s="158" t="s">
        <v>47</v>
      </c>
      <c r="B5" s="113">
        <v>4.16</v>
      </c>
      <c r="C5" s="114">
        <v>1.38</v>
      </c>
      <c r="D5" s="114">
        <v>5.08</v>
      </c>
      <c r="E5" s="114">
        <v>0.126</v>
      </c>
      <c r="F5" s="115">
        <f>SUM(B5:E5)</f>
        <v>10.746</v>
      </c>
      <c r="G5" s="116">
        <f>F5*1.255</f>
        <v>13.486229999999999</v>
      </c>
      <c r="H5" s="117">
        <f>G5*2000</f>
        <v>26972.46</v>
      </c>
      <c r="I5" s="118">
        <f>G5*4000</f>
        <v>53944.92</v>
      </c>
      <c r="J5" s="119">
        <f>G5*6000</f>
        <v>80917.37999999999</v>
      </c>
      <c r="K5" s="35">
        <v>4.24</v>
      </c>
      <c r="L5" s="34">
        <v>1.42</v>
      </c>
      <c r="M5" s="34">
        <v>5.08</v>
      </c>
      <c r="N5" s="34">
        <v>0.13</v>
      </c>
      <c r="O5" s="38">
        <f>SUM(K5:N5)</f>
        <v>10.870000000000001</v>
      </c>
      <c r="P5" s="39">
        <f>O5*1.255</f>
        <v>13.64185</v>
      </c>
      <c r="Q5" s="42">
        <f>P5*2000</f>
        <v>27283.7</v>
      </c>
      <c r="R5" s="43">
        <f>P5*4000</f>
        <v>54567.4</v>
      </c>
      <c r="S5" s="44">
        <f>P5*6000</f>
        <v>81851.100000000006</v>
      </c>
      <c r="T5" s="177">
        <f t="shared" ref="T5:T28" si="0">(Q5-H5)/H5</f>
        <v>1.1539177368323156E-2</v>
      </c>
      <c r="U5" s="178">
        <f t="shared" ref="U5:U28" si="1">(R5-I5)/I5</f>
        <v>1.1539177368323156E-2</v>
      </c>
      <c r="V5" s="179">
        <f t="shared" ref="V5:V28" si="2">(S5-J5)/J5</f>
        <v>1.1539177368323293E-2</v>
      </c>
      <c r="W5" s="120">
        <f>(K5-B5)/B5</f>
        <v>1.9230769230769246E-2</v>
      </c>
      <c r="X5" s="120">
        <f>(L5-C5)/C5</f>
        <v>2.898550724637684E-2</v>
      </c>
      <c r="Y5" s="121">
        <f>(M5-D5)/D5</f>
        <v>0</v>
      </c>
      <c r="Z5" s="48">
        <v>41640</v>
      </c>
      <c r="AA5" s="48">
        <v>41640</v>
      </c>
    </row>
    <row r="6" spans="1:27" s="83" customFormat="1" x14ac:dyDescent="0.25">
      <c r="A6" s="122" t="s">
        <v>11</v>
      </c>
      <c r="B6" s="123">
        <v>32.340000000000003</v>
      </c>
      <c r="C6" s="129"/>
      <c r="D6" s="129"/>
      <c r="E6" s="129"/>
      <c r="F6" s="124">
        <f>SUM(B6:E6)</f>
        <v>32.340000000000003</v>
      </c>
      <c r="G6" s="125">
        <f>F6*1.255</f>
        <v>40.5867</v>
      </c>
      <c r="H6" s="126">
        <f>G6*360</f>
        <v>14611.212</v>
      </c>
      <c r="I6" s="127">
        <f>G6*360</f>
        <v>14611.212</v>
      </c>
      <c r="J6" s="128">
        <f>G6*360</f>
        <v>14611.212</v>
      </c>
      <c r="K6" s="36">
        <v>32.99</v>
      </c>
      <c r="L6" s="37"/>
      <c r="M6" s="37"/>
      <c r="N6" s="37"/>
      <c r="O6" s="40">
        <f>SUM(K6:N6)</f>
        <v>32.99</v>
      </c>
      <c r="P6" s="41">
        <f>O6*1.255</f>
        <v>41.402450000000002</v>
      </c>
      <c r="Q6" s="45">
        <f>P6*360</f>
        <v>14904.882000000001</v>
      </c>
      <c r="R6" s="46">
        <f>P6*360</f>
        <v>14904.882000000001</v>
      </c>
      <c r="S6" s="47">
        <f>P6*360</f>
        <v>14904.882000000001</v>
      </c>
      <c r="T6" s="180">
        <f t="shared" si="0"/>
        <v>2.0098948670377374E-2</v>
      </c>
      <c r="U6" s="181">
        <f t="shared" si="1"/>
        <v>2.0098948670377374E-2</v>
      </c>
      <c r="V6" s="182">
        <f t="shared" si="2"/>
        <v>2.0098948670377374E-2</v>
      </c>
      <c r="W6" s="130">
        <f>(K6-B6)/B6</f>
        <v>2.0098948670377197E-2</v>
      </c>
      <c r="X6" s="131"/>
      <c r="Y6" s="132"/>
      <c r="Z6" s="48"/>
      <c r="AA6" s="48"/>
    </row>
    <row r="7" spans="1:27" s="83" customFormat="1" ht="15.75" thickBot="1" x14ac:dyDescent="0.3">
      <c r="A7" s="133" t="s">
        <v>12</v>
      </c>
      <c r="B7" s="134"/>
      <c r="C7" s="135"/>
      <c r="D7" s="135"/>
      <c r="E7" s="135"/>
      <c r="F7" s="136"/>
      <c r="G7" s="137"/>
      <c r="H7" s="138">
        <f>SUM(H5:H6)</f>
        <v>41583.671999999999</v>
      </c>
      <c r="I7" s="139">
        <f>SUM(I5:I6)</f>
        <v>68556.131999999998</v>
      </c>
      <c r="J7" s="140">
        <f>SUM(J5:J6)</f>
        <v>95528.59199999999</v>
      </c>
      <c r="K7" s="32"/>
      <c r="L7" s="12"/>
      <c r="M7" s="12"/>
      <c r="N7" s="12"/>
      <c r="O7" s="13"/>
      <c r="P7" s="54"/>
      <c r="Q7" s="14">
        <f>SUM(Q5:Q6)</f>
        <v>42188.582000000002</v>
      </c>
      <c r="R7" s="15">
        <f>SUM(R5:R6)</f>
        <v>69472.282000000007</v>
      </c>
      <c r="S7" s="16">
        <f>SUM(S5:S6)</f>
        <v>96755.982000000004</v>
      </c>
      <c r="T7" s="183">
        <f t="shared" si="0"/>
        <v>1.4546815394273107E-2</v>
      </c>
      <c r="U7" s="184">
        <f t="shared" si="1"/>
        <v>1.3363501896519027E-2</v>
      </c>
      <c r="V7" s="185">
        <f t="shared" si="2"/>
        <v>1.284840459074299E-2</v>
      </c>
      <c r="W7" s="130"/>
      <c r="X7" s="141"/>
      <c r="Y7" s="142"/>
      <c r="Z7" s="56"/>
      <c r="AA7" s="56"/>
    </row>
    <row r="8" spans="1:27" s="83" customFormat="1" ht="15.75" x14ac:dyDescent="0.25">
      <c r="A8" s="112" t="s">
        <v>28</v>
      </c>
      <c r="B8" s="143">
        <v>3.2</v>
      </c>
      <c r="C8" s="144">
        <v>1.36</v>
      </c>
      <c r="D8" s="114">
        <v>4.99</v>
      </c>
      <c r="E8" s="114">
        <v>0.126</v>
      </c>
      <c r="F8" s="145">
        <f>SUM(B8:E8)</f>
        <v>9.6760000000000002</v>
      </c>
      <c r="G8" s="116">
        <f>F8*1.255</f>
        <v>12.143379999999999</v>
      </c>
      <c r="H8" s="117">
        <f>G8*2000</f>
        <v>24286.76</v>
      </c>
      <c r="I8" s="118">
        <f>G8*4000</f>
        <v>48573.52</v>
      </c>
      <c r="J8" s="119">
        <f>G8*6000</f>
        <v>72860.28</v>
      </c>
      <c r="K8" s="60">
        <v>3.2</v>
      </c>
      <c r="L8" s="61">
        <v>1.36</v>
      </c>
      <c r="M8" s="34">
        <v>4.99</v>
      </c>
      <c r="N8" s="34">
        <v>0.13</v>
      </c>
      <c r="O8" s="55">
        <f>SUM(K8:N8)</f>
        <v>9.6800000000000015</v>
      </c>
      <c r="P8" s="39">
        <f>O8*1.255</f>
        <v>12.148400000000001</v>
      </c>
      <c r="Q8" s="42">
        <f>P8*2000</f>
        <v>24296.799999999999</v>
      </c>
      <c r="R8" s="43">
        <f>P8*4000</f>
        <v>48593.599999999999</v>
      </c>
      <c r="S8" s="44">
        <f>P8*6000</f>
        <v>72890.400000000009</v>
      </c>
      <c r="T8" s="186">
        <f t="shared" si="0"/>
        <v>4.1339396444815504E-4</v>
      </c>
      <c r="U8" s="187">
        <f t="shared" si="1"/>
        <v>4.1339396444815504E-4</v>
      </c>
      <c r="V8" s="188">
        <f t="shared" si="2"/>
        <v>4.1339396444825489E-4</v>
      </c>
      <c r="W8" s="120">
        <f>((K8+L8)-B8)/B8</f>
        <v>0.4250000000000001</v>
      </c>
      <c r="X8" s="120"/>
      <c r="Y8" s="121">
        <f>(M8-D8)/D8</f>
        <v>0</v>
      </c>
      <c r="Z8" s="48">
        <v>41456</v>
      </c>
      <c r="AA8" s="48">
        <v>41640</v>
      </c>
    </row>
    <row r="9" spans="1:27" s="83" customFormat="1" x14ac:dyDescent="0.25">
      <c r="A9" s="146" t="s">
        <v>11</v>
      </c>
      <c r="B9" s="123">
        <v>30.38</v>
      </c>
      <c r="C9" s="129"/>
      <c r="D9" s="147"/>
      <c r="E9" s="147"/>
      <c r="F9" s="145">
        <f>SUM(B9:E9)</f>
        <v>30.38</v>
      </c>
      <c r="G9" s="125">
        <f>F9*1.255</f>
        <v>38.126899999999992</v>
      </c>
      <c r="H9" s="126">
        <f>G9*360</f>
        <v>13725.683999999997</v>
      </c>
      <c r="I9" s="127">
        <f>G9*360</f>
        <v>13725.683999999997</v>
      </c>
      <c r="J9" s="128">
        <f>G9*360</f>
        <v>13725.683999999997</v>
      </c>
      <c r="K9" s="36">
        <v>30.38</v>
      </c>
      <c r="L9" s="37"/>
      <c r="M9" s="17"/>
      <c r="N9" s="17"/>
      <c r="O9" s="55">
        <f>SUM(K9:N9)</f>
        <v>30.38</v>
      </c>
      <c r="P9" s="41">
        <f>O9*1.255</f>
        <v>38.126899999999992</v>
      </c>
      <c r="Q9" s="45">
        <f>P9*360</f>
        <v>13725.683999999997</v>
      </c>
      <c r="R9" s="46">
        <f>P9*360</f>
        <v>13725.683999999997</v>
      </c>
      <c r="S9" s="47">
        <f>P9*360</f>
        <v>13725.683999999997</v>
      </c>
      <c r="T9" s="180">
        <f t="shared" si="0"/>
        <v>0</v>
      </c>
      <c r="U9" s="181">
        <f t="shared" si="1"/>
        <v>0</v>
      </c>
      <c r="V9" s="182">
        <f t="shared" si="2"/>
        <v>0</v>
      </c>
      <c r="W9" s="130">
        <f>(K9-B9)/B9</f>
        <v>0</v>
      </c>
      <c r="X9" s="131"/>
      <c r="Y9" s="132"/>
      <c r="Z9" s="50"/>
      <c r="AA9" s="50"/>
    </row>
    <row r="10" spans="1:27" s="83" customFormat="1" ht="15.75" thickBot="1" x14ac:dyDescent="0.3">
      <c r="A10" s="133" t="s">
        <v>12</v>
      </c>
      <c r="B10" s="148"/>
      <c r="C10" s="135"/>
      <c r="D10" s="135"/>
      <c r="E10" s="135"/>
      <c r="F10" s="136"/>
      <c r="G10" s="137"/>
      <c r="H10" s="138">
        <f>SUM(H8:H9)</f>
        <v>38012.443999999996</v>
      </c>
      <c r="I10" s="139">
        <f>SUM(I8:I9)</f>
        <v>62299.203999999998</v>
      </c>
      <c r="J10" s="140">
        <f>SUM(J8:J9)</f>
        <v>86585.963999999993</v>
      </c>
      <c r="K10" s="67"/>
      <c r="L10" s="12"/>
      <c r="M10" s="12"/>
      <c r="N10" s="12"/>
      <c r="O10" s="13"/>
      <c r="P10" s="54"/>
      <c r="Q10" s="14">
        <f>SUM(Q8:Q9)</f>
        <v>38022.483999999997</v>
      </c>
      <c r="R10" s="15">
        <f>SUM(R8:R9)</f>
        <v>62319.284</v>
      </c>
      <c r="S10" s="16">
        <f>SUM(S8:S9)</f>
        <v>86616.084000000003</v>
      </c>
      <c r="T10" s="183">
        <f t="shared" si="0"/>
        <v>2.6412403264575342E-4</v>
      </c>
      <c r="U10" s="184">
        <f t="shared" si="1"/>
        <v>3.2231551465732608E-4</v>
      </c>
      <c r="V10" s="185">
        <f t="shared" si="2"/>
        <v>3.4786238564035504E-4</v>
      </c>
      <c r="W10" s="149"/>
      <c r="X10" s="141"/>
      <c r="Y10" s="142"/>
      <c r="Z10" s="51"/>
      <c r="AA10" s="51"/>
    </row>
    <row r="11" spans="1:27" s="83" customFormat="1" ht="31.5" x14ac:dyDescent="0.25">
      <c r="A11" s="150" t="s">
        <v>27</v>
      </c>
      <c r="B11" s="151">
        <v>3.38</v>
      </c>
      <c r="C11" s="152">
        <v>1.51</v>
      </c>
      <c r="D11" s="152">
        <v>5.08</v>
      </c>
      <c r="E11" s="114">
        <v>0.126</v>
      </c>
      <c r="F11" s="145">
        <f>SUM(B11:E11)</f>
        <v>10.095999999999998</v>
      </c>
      <c r="G11" s="116">
        <f>F11*1.255</f>
        <v>12.670479999999996</v>
      </c>
      <c r="H11" s="117">
        <f>G11*2000</f>
        <v>25340.959999999992</v>
      </c>
      <c r="I11" s="118">
        <f>G11*4000</f>
        <v>50681.919999999984</v>
      </c>
      <c r="J11" s="119">
        <f>G11*6000</f>
        <v>76022.879999999976</v>
      </c>
      <c r="K11" s="9">
        <v>3.38</v>
      </c>
      <c r="L11" s="10">
        <v>1.54</v>
      </c>
      <c r="M11" s="10">
        <v>5.08</v>
      </c>
      <c r="N11" s="34">
        <v>0.13</v>
      </c>
      <c r="O11" s="55">
        <f>SUM(K11:N11)</f>
        <v>10.130000000000001</v>
      </c>
      <c r="P11" s="39">
        <f>O11*1.255</f>
        <v>12.713150000000001</v>
      </c>
      <c r="Q11" s="42">
        <f>P11*2000</f>
        <v>25426.300000000003</v>
      </c>
      <c r="R11" s="43">
        <f>P11*4000</f>
        <v>50852.600000000006</v>
      </c>
      <c r="S11" s="44">
        <f>P11*6000</f>
        <v>76278.900000000009</v>
      </c>
      <c r="T11" s="186">
        <f t="shared" si="0"/>
        <v>3.3676703645012301E-3</v>
      </c>
      <c r="U11" s="187">
        <f t="shared" si="1"/>
        <v>3.3676703645012301E-3</v>
      </c>
      <c r="V11" s="188">
        <f t="shared" si="2"/>
        <v>3.3676703645012301E-3</v>
      </c>
      <c r="W11" s="120">
        <f>(K11-B11)/B11</f>
        <v>0</v>
      </c>
      <c r="X11" s="120">
        <f>(L11-C11)/C11</f>
        <v>1.986754966887419E-2</v>
      </c>
      <c r="Y11" s="121">
        <f>(M11-D11)/D11</f>
        <v>0</v>
      </c>
      <c r="Z11" s="48">
        <v>41640</v>
      </c>
      <c r="AA11" s="48">
        <v>41640</v>
      </c>
    </row>
    <row r="12" spans="1:27" s="83" customFormat="1" x14ac:dyDescent="0.25">
      <c r="A12" s="146" t="s">
        <v>11</v>
      </c>
      <c r="B12" s="153">
        <v>31.64</v>
      </c>
      <c r="C12" s="147"/>
      <c r="D12" s="147"/>
      <c r="E12" s="147"/>
      <c r="F12" s="154">
        <f>SUM(B12:E12)</f>
        <v>31.64</v>
      </c>
      <c r="G12" s="125">
        <f>F12*1.255</f>
        <v>39.708199999999998</v>
      </c>
      <c r="H12" s="126">
        <f>G12*360</f>
        <v>14294.951999999999</v>
      </c>
      <c r="I12" s="127">
        <f>G12*360</f>
        <v>14294.951999999999</v>
      </c>
      <c r="J12" s="128">
        <f>G12*360</f>
        <v>14294.951999999999</v>
      </c>
      <c r="K12" s="19">
        <v>31.64</v>
      </c>
      <c r="L12" s="17"/>
      <c r="M12" s="17"/>
      <c r="N12" s="17"/>
      <c r="O12" s="20">
        <f>SUM(K12:N12)</f>
        <v>31.64</v>
      </c>
      <c r="P12" s="41">
        <f>O12*1.255</f>
        <v>39.708199999999998</v>
      </c>
      <c r="Q12" s="45">
        <f>P12*360</f>
        <v>14294.951999999999</v>
      </c>
      <c r="R12" s="46">
        <f>P12*360</f>
        <v>14294.951999999999</v>
      </c>
      <c r="S12" s="47">
        <f>P12*360</f>
        <v>14294.951999999999</v>
      </c>
      <c r="T12" s="180">
        <f t="shared" si="0"/>
        <v>0</v>
      </c>
      <c r="U12" s="181">
        <f t="shared" si="1"/>
        <v>0</v>
      </c>
      <c r="V12" s="182">
        <f t="shared" si="2"/>
        <v>0</v>
      </c>
      <c r="W12" s="130">
        <f>(K12-B12)/B12</f>
        <v>0</v>
      </c>
      <c r="X12" s="131"/>
      <c r="Y12" s="132"/>
      <c r="Z12" s="48"/>
      <c r="AA12" s="48"/>
    </row>
    <row r="13" spans="1:27" s="83" customFormat="1" ht="15.75" thickBot="1" x14ac:dyDescent="0.3">
      <c r="A13" s="133" t="s">
        <v>12</v>
      </c>
      <c r="B13" s="155"/>
      <c r="C13" s="156"/>
      <c r="D13" s="135"/>
      <c r="E13" s="135"/>
      <c r="F13" s="157"/>
      <c r="G13" s="137"/>
      <c r="H13" s="138">
        <f>SUM(H11:H12)</f>
        <v>39635.911999999989</v>
      </c>
      <c r="I13" s="139">
        <f>SUM(I11:I12)</f>
        <v>64976.871999999981</v>
      </c>
      <c r="J13" s="140">
        <f>SUM(J11:J12)</f>
        <v>90317.83199999998</v>
      </c>
      <c r="K13" s="18"/>
      <c r="L13" s="62"/>
      <c r="M13" s="12"/>
      <c r="N13" s="12"/>
      <c r="O13" s="21"/>
      <c r="P13" s="54"/>
      <c r="Q13" s="14">
        <f>SUM(Q11:Q12)</f>
        <v>39721.252</v>
      </c>
      <c r="R13" s="15">
        <f>SUM(R11:R12)</f>
        <v>65147.552000000003</v>
      </c>
      <c r="S13" s="16">
        <f>SUM(S11:S12)</f>
        <v>90573.852000000014</v>
      </c>
      <c r="T13" s="183">
        <f t="shared" si="0"/>
        <v>2.1530979279601558E-3</v>
      </c>
      <c r="U13" s="184">
        <f t="shared" si="1"/>
        <v>2.6267808028681678E-3</v>
      </c>
      <c r="V13" s="185">
        <f t="shared" si="2"/>
        <v>2.8346561728810455E-3</v>
      </c>
      <c r="W13" s="149"/>
      <c r="X13" s="141"/>
      <c r="Y13" s="142"/>
      <c r="Z13" s="49"/>
      <c r="AA13" s="49"/>
    </row>
    <row r="14" spans="1:27" s="83" customFormat="1" ht="15.75" x14ac:dyDescent="0.25">
      <c r="A14" s="158" t="s">
        <v>20</v>
      </c>
      <c r="B14" s="151">
        <v>4.83</v>
      </c>
      <c r="C14" s="152" t="s">
        <v>13</v>
      </c>
      <c r="D14" s="152">
        <v>4.8600000000000003</v>
      </c>
      <c r="E14" s="114">
        <v>0.126</v>
      </c>
      <c r="F14" s="159">
        <f>B14+D14+E14</f>
        <v>9.8160000000000007</v>
      </c>
      <c r="G14" s="160">
        <f>F14*1.255</f>
        <v>12.31908</v>
      </c>
      <c r="H14" s="117">
        <f>G14*2000</f>
        <v>24638.16</v>
      </c>
      <c r="I14" s="118">
        <f>G14*4000</f>
        <v>49276.32</v>
      </c>
      <c r="J14" s="119">
        <f>G14*6000</f>
        <v>73914.48</v>
      </c>
      <c r="K14" s="9">
        <v>4.83</v>
      </c>
      <c r="L14" s="10" t="s">
        <v>13</v>
      </c>
      <c r="M14" s="10">
        <v>4.8600000000000003</v>
      </c>
      <c r="N14" s="34">
        <v>0.13</v>
      </c>
      <c r="O14" s="11">
        <f>K14+M14+N14</f>
        <v>9.8200000000000021</v>
      </c>
      <c r="P14" s="22">
        <f>O14*1.255</f>
        <v>12.324100000000001</v>
      </c>
      <c r="Q14" s="42">
        <f>P14*2000</f>
        <v>24648.200000000004</v>
      </c>
      <c r="R14" s="43">
        <f>P14*4000</f>
        <v>49296.400000000009</v>
      </c>
      <c r="S14" s="44">
        <f>P14*6000</f>
        <v>73944.600000000006</v>
      </c>
      <c r="T14" s="186">
        <f t="shared" si="0"/>
        <v>4.0749796251037055E-4</v>
      </c>
      <c r="U14" s="187">
        <f t="shared" si="1"/>
        <v>4.0749796251037055E-4</v>
      </c>
      <c r="V14" s="188">
        <f t="shared" si="2"/>
        <v>4.0749796251032133E-4</v>
      </c>
      <c r="W14" s="120">
        <f>(K14-B14)/B14</f>
        <v>0</v>
      </c>
      <c r="X14" s="120"/>
      <c r="Y14" s="121">
        <f>(M14-D14)/D14</f>
        <v>0</v>
      </c>
      <c r="Z14" s="48">
        <v>41487</v>
      </c>
      <c r="AA14" s="48">
        <v>41640</v>
      </c>
    </row>
    <row r="15" spans="1:27" s="83" customFormat="1" x14ac:dyDescent="0.25">
      <c r="A15" s="146" t="s">
        <v>11</v>
      </c>
      <c r="B15" s="153">
        <f>17353/360</f>
        <v>48.202777777777776</v>
      </c>
      <c r="C15" s="147"/>
      <c r="D15" s="147"/>
      <c r="E15" s="147"/>
      <c r="F15" s="161">
        <f>SUM(B15:E15)</f>
        <v>48.202777777777776</v>
      </c>
      <c r="G15" s="162">
        <f>F15*1.255</f>
        <v>60.494486111111101</v>
      </c>
      <c r="H15" s="126">
        <f>G15*360</f>
        <v>21778.014999999996</v>
      </c>
      <c r="I15" s="127">
        <f>G15*360</f>
        <v>21778.014999999996</v>
      </c>
      <c r="J15" s="128">
        <f>G15*360</f>
        <v>21778.014999999996</v>
      </c>
      <c r="K15" s="19">
        <f>17353/360</f>
        <v>48.202777777777776</v>
      </c>
      <c r="L15" s="17"/>
      <c r="M15" s="17"/>
      <c r="N15" s="17"/>
      <c r="O15" s="20">
        <f>SUM(K15:N15)</f>
        <v>48.202777777777776</v>
      </c>
      <c r="P15" s="23">
        <f>O15*1.255</f>
        <v>60.494486111111101</v>
      </c>
      <c r="Q15" s="45">
        <f>P15*360</f>
        <v>21778.014999999996</v>
      </c>
      <c r="R15" s="46">
        <f>P15*360</f>
        <v>21778.014999999996</v>
      </c>
      <c r="S15" s="47">
        <f>P15*360</f>
        <v>21778.014999999996</v>
      </c>
      <c r="T15" s="180">
        <f t="shared" si="0"/>
        <v>0</v>
      </c>
      <c r="U15" s="181">
        <f t="shared" si="1"/>
        <v>0</v>
      </c>
      <c r="V15" s="182">
        <f t="shared" si="2"/>
        <v>0</v>
      </c>
      <c r="W15" s="130">
        <f>(K15-B15)/B15</f>
        <v>0</v>
      </c>
      <c r="X15" s="131"/>
      <c r="Y15" s="132"/>
      <c r="Z15" s="50"/>
      <c r="AA15" s="50"/>
    </row>
    <row r="16" spans="1:27" s="83" customFormat="1" ht="15.75" thickBot="1" x14ac:dyDescent="0.3">
      <c r="A16" s="133" t="s">
        <v>12</v>
      </c>
      <c r="B16" s="155"/>
      <c r="C16" s="135"/>
      <c r="D16" s="135"/>
      <c r="E16" s="135"/>
      <c r="F16" s="136"/>
      <c r="G16" s="137"/>
      <c r="H16" s="138">
        <f>SUM(H14:H15)</f>
        <v>46416.174999999996</v>
      </c>
      <c r="I16" s="139">
        <f>SUM(I14:I15)</f>
        <v>71054.334999999992</v>
      </c>
      <c r="J16" s="140">
        <f>SUM(J14:J15)</f>
        <v>95692.494999999995</v>
      </c>
      <c r="K16" s="18"/>
      <c r="L16" s="12"/>
      <c r="M16" s="12"/>
      <c r="N16" s="12"/>
      <c r="O16" s="13"/>
      <c r="P16" s="54"/>
      <c r="Q16" s="14">
        <f>SUM(Q14:Q15)</f>
        <v>46426.214999999997</v>
      </c>
      <c r="R16" s="15">
        <f>SUM(R14:R15)</f>
        <v>71074.415000000008</v>
      </c>
      <c r="S16" s="16">
        <f>SUM(S14:S15)</f>
        <v>95722.615000000005</v>
      </c>
      <c r="T16" s="183">
        <f t="shared" si="0"/>
        <v>2.1630390698933882E-4</v>
      </c>
      <c r="U16" s="184">
        <f t="shared" si="1"/>
        <v>2.8260063231914424E-4</v>
      </c>
      <c r="V16" s="185">
        <f t="shared" si="2"/>
        <v>3.14758226337498E-4</v>
      </c>
      <c r="W16" s="149"/>
      <c r="X16" s="141"/>
      <c r="Y16" s="142"/>
      <c r="Z16" s="51"/>
      <c r="AA16" s="51"/>
    </row>
    <row r="17" spans="1:27" s="83" customFormat="1" ht="15.75" x14ac:dyDescent="0.25">
      <c r="A17" s="158" t="s">
        <v>21</v>
      </c>
      <c r="B17" s="163" t="s">
        <v>45</v>
      </c>
      <c r="C17" s="152" t="s">
        <v>13</v>
      </c>
      <c r="D17" s="152">
        <v>4.8600000000000003</v>
      </c>
      <c r="E17" s="114">
        <v>0.126</v>
      </c>
      <c r="F17" s="159">
        <f>E17+D17+7.91-0.65</f>
        <v>12.246</v>
      </c>
      <c r="G17" s="116">
        <f>F17*1.255</f>
        <v>15.368729999999999</v>
      </c>
      <c r="H17" s="117">
        <f>G17*2000</f>
        <v>30737.46</v>
      </c>
      <c r="I17" s="118">
        <f>G17*4000</f>
        <v>61474.92</v>
      </c>
      <c r="J17" s="119">
        <f>G17*6000</f>
        <v>92212.37999999999</v>
      </c>
      <c r="K17" s="24" t="s">
        <v>45</v>
      </c>
      <c r="L17" s="10" t="s">
        <v>13</v>
      </c>
      <c r="M17" s="10">
        <v>4.8600000000000003</v>
      </c>
      <c r="N17" s="34">
        <v>0.13</v>
      </c>
      <c r="O17" s="11">
        <f>N17+M17+7.91-0.65</f>
        <v>12.25</v>
      </c>
      <c r="P17" s="39">
        <f>O17*1.255</f>
        <v>15.373749999999999</v>
      </c>
      <c r="Q17" s="42">
        <f>P17*2000</f>
        <v>30747.5</v>
      </c>
      <c r="R17" s="43">
        <f>P17*4000</f>
        <v>61495</v>
      </c>
      <c r="S17" s="44">
        <f>P17*6000</f>
        <v>92242.5</v>
      </c>
      <c r="T17" s="186">
        <f t="shared" si="0"/>
        <v>3.2663726931245695E-4</v>
      </c>
      <c r="U17" s="187">
        <f t="shared" si="1"/>
        <v>3.2663726931245695E-4</v>
      </c>
      <c r="V17" s="188">
        <f t="shared" si="2"/>
        <v>3.2663726931253588E-4</v>
      </c>
      <c r="W17" s="120">
        <f>(6.81-6.29)/6.29</f>
        <v>8.2670906200317903E-2</v>
      </c>
      <c r="X17" s="120"/>
      <c r="Y17" s="121">
        <f>(M17-D17)/D17</f>
        <v>0</v>
      </c>
      <c r="Z17" s="48">
        <v>41487</v>
      </c>
      <c r="AA17" s="48">
        <v>41640</v>
      </c>
    </row>
    <row r="18" spans="1:27" s="83" customFormat="1" x14ac:dyDescent="0.25">
      <c r="A18" s="146" t="s">
        <v>11</v>
      </c>
      <c r="B18" s="153">
        <f>26350/360</f>
        <v>73.194444444444443</v>
      </c>
      <c r="C18" s="147"/>
      <c r="D18" s="147"/>
      <c r="E18" s="147"/>
      <c r="F18" s="154">
        <f>SUM(B18:E18)</f>
        <v>73.194444444444443</v>
      </c>
      <c r="G18" s="125">
        <f>F18*1.255</f>
        <v>91.859027777777769</v>
      </c>
      <c r="H18" s="126">
        <f>G18*360</f>
        <v>33069.25</v>
      </c>
      <c r="I18" s="127">
        <f>G18*360</f>
        <v>33069.25</v>
      </c>
      <c r="J18" s="128">
        <f>G18*360</f>
        <v>33069.25</v>
      </c>
      <c r="K18" s="19">
        <f>26350/360</f>
        <v>73.194444444444443</v>
      </c>
      <c r="L18" s="17"/>
      <c r="M18" s="17"/>
      <c r="N18" s="17"/>
      <c r="O18" s="20">
        <f>SUM(K18:N18)</f>
        <v>73.194444444444443</v>
      </c>
      <c r="P18" s="41">
        <f>O18*1.255</f>
        <v>91.859027777777769</v>
      </c>
      <c r="Q18" s="45">
        <f>P18*360</f>
        <v>33069.25</v>
      </c>
      <c r="R18" s="46">
        <f>P18*360</f>
        <v>33069.25</v>
      </c>
      <c r="S18" s="47">
        <f>P18*360</f>
        <v>33069.25</v>
      </c>
      <c r="T18" s="180">
        <f t="shared" si="0"/>
        <v>0</v>
      </c>
      <c r="U18" s="181">
        <f t="shared" si="1"/>
        <v>0</v>
      </c>
      <c r="V18" s="182">
        <f t="shared" si="2"/>
        <v>0</v>
      </c>
      <c r="W18" s="130">
        <f>(K18-B18)/B18</f>
        <v>0</v>
      </c>
      <c r="X18" s="131"/>
      <c r="Y18" s="132"/>
      <c r="Z18" s="50"/>
      <c r="AA18" s="50"/>
    </row>
    <row r="19" spans="1:27" s="83" customFormat="1" ht="15.75" thickBot="1" x14ac:dyDescent="0.3">
      <c r="A19" s="133" t="s">
        <v>12</v>
      </c>
      <c r="B19" s="155"/>
      <c r="C19" s="135"/>
      <c r="D19" s="135"/>
      <c r="E19" s="135"/>
      <c r="F19" s="136"/>
      <c r="G19" s="137"/>
      <c r="H19" s="138">
        <f>SUM(H17:H18)</f>
        <v>63806.71</v>
      </c>
      <c r="I19" s="139">
        <f>SUM(I17:I18)</f>
        <v>94544.17</v>
      </c>
      <c r="J19" s="140">
        <f>SUM(J17:J18)</f>
        <v>125281.62999999999</v>
      </c>
      <c r="K19" s="18"/>
      <c r="L19" s="12"/>
      <c r="M19" s="12"/>
      <c r="N19" s="12"/>
      <c r="O19" s="13"/>
      <c r="P19" s="54"/>
      <c r="Q19" s="14">
        <f>SUM(Q17:Q18)</f>
        <v>63816.75</v>
      </c>
      <c r="R19" s="15">
        <f>SUM(R17:R18)</f>
        <v>94564.25</v>
      </c>
      <c r="S19" s="16">
        <f>SUM(S17:S18)</f>
        <v>125311.75</v>
      </c>
      <c r="T19" s="183">
        <f t="shared" si="0"/>
        <v>1.5735022225720264E-4</v>
      </c>
      <c r="U19" s="184">
        <f t="shared" si="1"/>
        <v>2.1238750099558489E-4</v>
      </c>
      <c r="V19" s="185">
        <f t="shared" si="2"/>
        <v>2.4041832789060852E-4</v>
      </c>
      <c r="W19" s="149"/>
      <c r="X19" s="141"/>
      <c r="Y19" s="142"/>
      <c r="Z19" s="51"/>
      <c r="AA19" s="51"/>
    </row>
    <row r="20" spans="1:27" s="83" customFormat="1" ht="15.75" x14ac:dyDescent="0.25">
      <c r="A20" s="112" t="s">
        <v>23</v>
      </c>
      <c r="B20" s="151">
        <v>4.91</v>
      </c>
      <c r="C20" s="152" t="s">
        <v>13</v>
      </c>
      <c r="D20" s="114">
        <v>5.0199999999999996</v>
      </c>
      <c r="E20" s="114">
        <v>0.126</v>
      </c>
      <c r="F20" s="159">
        <f>B20+D20+E20</f>
        <v>10.055999999999999</v>
      </c>
      <c r="G20" s="160">
        <f>F20*1.255</f>
        <v>12.620279999999998</v>
      </c>
      <c r="H20" s="117">
        <f>G20*2000</f>
        <v>25240.559999999994</v>
      </c>
      <c r="I20" s="118">
        <f>G20*4000</f>
        <v>50481.119999999988</v>
      </c>
      <c r="J20" s="119">
        <f>G20*6000</f>
        <v>75721.679999999978</v>
      </c>
      <c r="K20" s="9">
        <v>4.91</v>
      </c>
      <c r="L20" s="10" t="s">
        <v>13</v>
      </c>
      <c r="M20" s="34">
        <v>5.0199999999999996</v>
      </c>
      <c r="N20" s="34">
        <v>0.13</v>
      </c>
      <c r="O20" s="11">
        <f>K20+M20+N20</f>
        <v>10.06</v>
      </c>
      <c r="P20" s="22">
        <f>O20*1.255</f>
        <v>12.625299999999999</v>
      </c>
      <c r="Q20" s="42">
        <f>P20*2000</f>
        <v>25250.6</v>
      </c>
      <c r="R20" s="43">
        <f>P20*4000</f>
        <v>50501.2</v>
      </c>
      <c r="S20" s="44">
        <f>P20*6000</f>
        <v>75751.8</v>
      </c>
      <c r="T20" s="186">
        <f t="shared" si="0"/>
        <v>3.9777247414496798E-4</v>
      </c>
      <c r="U20" s="187">
        <f t="shared" si="1"/>
        <v>3.9777247414496798E-4</v>
      </c>
      <c r="V20" s="188">
        <f t="shared" si="2"/>
        <v>3.9777247414511213E-4</v>
      </c>
      <c r="W20" s="120">
        <f>(K20-B20)/B20</f>
        <v>0</v>
      </c>
      <c r="X20" s="120"/>
      <c r="Y20" s="121">
        <f>(M20-D20)/D20</f>
        <v>0</v>
      </c>
      <c r="Z20" s="48">
        <v>41640</v>
      </c>
      <c r="AA20" s="48">
        <v>41640</v>
      </c>
    </row>
    <row r="21" spans="1:27" s="83" customFormat="1" x14ac:dyDescent="0.25">
      <c r="A21" s="146" t="s">
        <v>11</v>
      </c>
      <c r="B21" s="153">
        <f>17998/360</f>
        <v>49.994444444444447</v>
      </c>
      <c r="C21" s="147"/>
      <c r="D21" s="129"/>
      <c r="E21" s="129"/>
      <c r="F21" s="154">
        <f>SUM(B21:E21)</f>
        <v>49.994444444444447</v>
      </c>
      <c r="G21" s="162">
        <f>F21*1.255</f>
        <v>62.743027777777776</v>
      </c>
      <c r="H21" s="126">
        <f>G21*360</f>
        <v>22587.489999999998</v>
      </c>
      <c r="I21" s="127">
        <f>G21*360</f>
        <v>22587.489999999998</v>
      </c>
      <c r="J21" s="128">
        <f>G21*360</f>
        <v>22587.489999999998</v>
      </c>
      <c r="K21" s="19">
        <f>17998/360</f>
        <v>49.994444444444447</v>
      </c>
      <c r="L21" s="17"/>
      <c r="M21" s="37"/>
      <c r="N21" s="37"/>
      <c r="O21" s="20">
        <f>SUM(K21:N21)</f>
        <v>49.994444444444447</v>
      </c>
      <c r="P21" s="23">
        <f>O21*1.255</f>
        <v>62.743027777777776</v>
      </c>
      <c r="Q21" s="45">
        <f>P21*360</f>
        <v>22587.489999999998</v>
      </c>
      <c r="R21" s="46">
        <f>P21*360</f>
        <v>22587.489999999998</v>
      </c>
      <c r="S21" s="47">
        <f>P21*360</f>
        <v>22587.489999999998</v>
      </c>
      <c r="T21" s="180">
        <f t="shared" si="0"/>
        <v>0</v>
      </c>
      <c r="U21" s="181">
        <f t="shared" si="1"/>
        <v>0</v>
      </c>
      <c r="V21" s="182">
        <f t="shared" si="2"/>
        <v>0</v>
      </c>
      <c r="W21" s="130">
        <f>(K21-B21)/B21</f>
        <v>0</v>
      </c>
      <c r="X21" s="131"/>
      <c r="Y21" s="132"/>
      <c r="Z21" s="48"/>
      <c r="AA21" s="48"/>
    </row>
    <row r="22" spans="1:27" s="83" customFormat="1" ht="15.75" thickBot="1" x14ac:dyDescent="0.3">
      <c r="A22" s="133" t="s">
        <v>12</v>
      </c>
      <c r="B22" s="134"/>
      <c r="C22" s="135"/>
      <c r="D22" s="135"/>
      <c r="E22" s="135"/>
      <c r="F22" s="136"/>
      <c r="G22" s="137"/>
      <c r="H22" s="138">
        <f>SUM(H20:H21)</f>
        <v>47828.049999999988</v>
      </c>
      <c r="I22" s="139">
        <f>SUM(I20:I21)</f>
        <v>73068.609999999986</v>
      </c>
      <c r="J22" s="140">
        <f>SUM(J20:J21)</f>
        <v>98309.169999999984</v>
      </c>
      <c r="K22" s="32"/>
      <c r="L22" s="12"/>
      <c r="M22" s="12"/>
      <c r="N22" s="12"/>
      <c r="O22" s="13"/>
      <c r="P22" s="54"/>
      <c r="Q22" s="14">
        <f>SUM(Q20:Q21)</f>
        <v>47838.09</v>
      </c>
      <c r="R22" s="15">
        <f>SUM(R20:R21)</f>
        <v>73088.69</v>
      </c>
      <c r="S22" s="16">
        <f>SUM(S20:S21)</f>
        <v>98339.290000000008</v>
      </c>
      <c r="T22" s="183">
        <f t="shared" si="0"/>
        <v>2.099186565207687E-4</v>
      </c>
      <c r="U22" s="184">
        <f t="shared" si="1"/>
        <v>2.7481020919949486E-4</v>
      </c>
      <c r="V22" s="185">
        <f t="shared" si="2"/>
        <v>3.0638037123113186E-4</v>
      </c>
      <c r="W22" s="149"/>
      <c r="X22" s="141"/>
      <c r="Y22" s="142"/>
      <c r="Z22" s="49"/>
      <c r="AA22" s="49"/>
    </row>
    <row r="23" spans="1:27" s="83" customFormat="1" ht="15.75" x14ac:dyDescent="0.25">
      <c r="A23" s="112" t="s">
        <v>24</v>
      </c>
      <c r="B23" s="24" t="s">
        <v>54</v>
      </c>
      <c r="C23" s="10" t="s">
        <v>13</v>
      </c>
      <c r="D23" s="34">
        <v>5.0199999999999996</v>
      </c>
      <c r="E23" s="34">
        <v>0.126</v>
      </c>
      <c r="F23" s="11">
        <f>E23+D23+7.94-0.56</f>
        <v>12.526</v>
      </c>
      <c r="G23" s="22">
        <f>F23*1.255</f>
        <v>15.720129999999999</v>
      </c>
      <c r="H23" s="117">
        <f>G23*2000</f>
        <v>31440.26</v>
      </c>
      <c r="I23" s="118">
        <f>G23*4000</f>
        <v>62880.52</v>
      </c>
      <c r="J23" s="119">
        <f>G23*6000</f>
        <v>94320.78</v>
      </c>
      <c r="K23" s="24" t="s">
        <v>48</v>
      </c>
      <c r="L23" s="10" t="s">
        <v>13</v>
      </c>
      <c r="M23" s="34">
        <v>5.0199999999999996</v>
      </c>
      <c r="N23" s="34">
        <v>0.13</v>
      </c>
      <c r="O23" s="11">
        <f>N23+M23+8.3-0.56</f>
        <v>12.889999999999999</v>
      </c>
      <c r="P23" s="22">
        <f>O23*1.255</f>
        <v>16.176949999999998</v>
      </c>
      <c r="Q23" s="42">
        <f>P23*2000</f>
        <v>32353.899999999994</v>
      </c>
      <c r="R23" s="43">
        <f>P23*4000</f>
        <v>64707.799999999988</v>
      </c>
      <c r="S23" s="44">
        <f>P23*6000</f>
        <v>97061.699999999983</v>
      </c>
      <c r="T23" s="186">
        <f t="shared" si="0"/>
        <v>2.905955612326348E-2</v>
      </c>
      <c r="U23" s="187">
        <f t="shared" si="1"/>
        <v>2.905955612326348E-2</v>
      </c>
      <c r="V23" s="188">
        <f t="shared" si="2"/>
        <v>2.9059556123263438E-2</v>
      </c>
      <c r="W23" s="120">
        <f>(6.805-6.32)/6.32</f>
        <v>7.6740506329113833E-2</v>
      </c>
      <c r="X23" s="120"/>
      <c r="Y23" s="121">
        <f>(M23-D23)/D23</f>
        <v>0</v>
      </c>
      <c r="Z23" s="48">
        <v>41640</v>
      </c>
      <c r="AA23" s="48">
        <v>41640</v>
      </c>
    </row>
    <row r="24" spans="1:27" s="83" customFormat="1" x14ac:dyDescent="0.25">
      <c r="A24" s="146" t="s">
        <v>11</v>
      </c>
      <c r="B24" s="19">
        <f>27156/360</f>
        <v>75.433333333333337</v>
      </c>
      <c r="C24" s="17"/>
      <c r="D24" s="37"/>
      <c r="E24" s="37"/>
      <c r="F24" s="20">
        <f>SUM(B24:E24)</f>
        <v>75.433333333333337</v>
      </c>
      <c r="G24" s="23">
        <f>F24*1.255</f>
        <v>94.668833333333325</v>
      </c>
      <c r="H24" s="126">
        <f>G24*360</f>
        <v>34080.78</v>
      </c>
      <c r="I24" s="127">
        <f>G24*360</f>
        <v>34080.78</v>
      </c>
      <c r="J24" s="128">
        <f>G24*360</f>
        <v>34080.78</v>
      </c>
      <c r="K24" s="19">
        <f>28378/360</f>
        <v>78.827777777777783</v>
      </c>
      <c r="L24" s="17"/>
      <c r="M24" s="37"/>
      <c r="N24" s="37"/>
      <c r="O24" s="20">
        <f>SUM(K24:N24)</f>
        <v>78.827777777777783</v>
      </c>
      <c r="P24" s="23">
        <f>O24*1.255</f>
        <v>98.928861111111104</v>
      </c>
      <c r="Q24" s="45">
        <f>P24*360</f>
        <v>35614.39</v>
      </c>
      <c r="R24" s="46">
        <f>P24*360</f>
        <v>35614.39</v>
      </c>
      <c r="S24" s="47">
        <f>P24*360</f>
        <v>35614.39</v>
      </c>
      <c r="T24" s="180">
        <f t="shared" si="0"/>
        <v>4.499926351450878E-2</v>
      </c>
      <c r="U24" s="181">
        <f t="shared" si="1"/>
        <v>4.499926351450878E-2</v>
      </c>
      <c r="V24" s="182">
        <f t="shared" si="2"/>
        <v>4.499926351450878E-2</v>
      </c>
      <c r="W24" s="130">
        <f>(K24-B24)/B24</f>
        <v>4.499926351450878E-2</v>
      </c>
      <c r="X24" s="131"/>
      <c r="Y24" s="132"/>
      <c r="Z24" s="48"/>
      <c r="AA24" s="48"/>
    </row>
    <row r="25" spans="1:27" s="83" customFormat="1" ht="15.75" thickBot="1" x14ac:dyDescent="0.3">
      <c r="A25" s="133" t="s">
        <v>12</v>
      </c>
      <c r="B25" s="18"/>
      <c r="C25" s="12"/>
      <c r="D25" s="12"/>
      <c r="E25" s="12"/>
      <c r="F25" s="13"/>
      <c r="G25" s="54"/>
      <c r="H25" s="164">
        <f>SUM(H23:H24)</f>
        <v>65521.039999999994</v>
      </c>
      <c r="I25" s="165">
        <f>SUM(I23:I24)</f>
        <v>96961.299999999988</v>
      </c>
      <c r="J25" s="166">
        <f>SUM(J23:J24)</f>
        <v>128401.56</v>
      </c>
      <c r="K25" s="18"/>
      <c r="L25" s="12"/>
      <c r="M25" s="12"/>
      <c r="N25" s="12"/>
      <c r="O25" s="13"/>
      <c r="P25" s="54"/>
      <c r="Q25" s="25">
        <f>SUM(Q23:Q24)</f>
        <v>67968.289999999994</v>
      </c>
      <c r="R25" s="26">
        <f>SUM(R23:R24)</f>
        <v>100322.18999999999</v>
      </c>
      <c r="S25" s="27">
        <f>SUM(S23:S24)</f>
        <v>132676.08999999997</v>
      </c>
      <c r="T25" s="183">
        <f t="shared" si="0"/>
        <v>3.7350597609561755E-2</v>
      </c>
      <c r="U25" s="184">
        <f t="shared" si="1"/>
        <v>3.4662179653119338E-2</v>
      </c>
      <c r="V25" s="185">
        <f t="shared" si="2"/>
        <v>3.3290327625302762E-2</v>
      </c>
      <c r="W25" s="149"/>
      <c r="X25" s="141"/>
      <c r="Y25" s="142"/>
      <c r="Z25" s="52"/>
      <c r="AA25" s="52"/>
    </row>
    <row r="26" spans="1:27" s="83" customFormat="1" ht="15.75" x14ac:dyDescent="0.25">
      <c r="A26" s="112" t="s">
        <v>22</v>
      </c>
      <c r="B26" s="151">
        <v>4.3899999999999997</v>
      </c>
      <c r="C26" s="152" t="s">
        <v>13</v>
      </c>
      <c r="D26" s="114">
        <v>4.9000000000000004</v>
      </c>
      <c r="E26" s="114">
        <v>0.126</v>
      </c>
      <c r="F26" s="159">
        <f>D26+B26+E26</f>
        <v>9.4159999999999986</v>
      </c>
      <c r="G26" s="160">
        <f>F26*1.255</f>
        <v>11.817079999999997</v>
      </c>
      <c r="H26" s="167">
        <f>G26*2000</f>
        <v>23634.159999999993</v>
      </c>
      <c r="I26" s="168">
        <f>G26*4000</f>
        <v>47268.319999999985</v>
      </c>
      <c r="J26" s="169">
        <f>G26*6000</f>
        <v>70902.479999999981</v>
      </c>
      <c r="K26" s="9">
        <v>4.5199999999999996</v>
      </c>
      <c r="L26" s="10" t="s">
        <v>13</v>
      </c>
      <c r="M26" s="34">
        <v>5.0199999999999996</v>
      </c>
      <c r="N26" s="34">
        <v>0.13</v>
      </c>
      <c r="O26" s="11">
        <f>M26+K26+N26</f>
        <v>9.67</v>
      </c>
      <c r="P26" s="22">
        <f>O26*1.255</f>
        <v>12.13585</v>
      </c>
      <c r="Q26" s="57">
        <f>P26*2000</f>
        <v>24271.7</v>
      </c>
      <c r="R26" s="58">
        <f>P26*4000</f>
        <v>48543.4</v>
      </c>
      <c r="S26" s="59">
        <f>P26*6000</f>
        <v>72815.099999999991</v>
      </c>
      <c r="T26" s="186">
        <f t="shared" si="0"/>
        <v>2.6975361087510974E-2</v>
      </c>
      <c r="U26" s="187">
        <f t="shared" si="1"/>
        <v>2.6975361087510974E-2</v>
      </c>
      <c r="V26" s="188">
        <f t="shared" si="2"/>
        <v>2.6975361087510766E-2</v>
      </c>
      <c r="W26" s="120">
        <f>(K26-B26)/B26</f>
        <v>2.9612756264236879E-2</v>
      </c>
      <c r="X26" s="120"/>
      <c r="Y26" s="121">
        <f>(M26-D26)/D26</f>
        <v>2.4489795918367186E-2</v>
      </c>
      <c r="Z26" s="48">
        <v>41640</v>
      </c>
      <c r="AA26" s="48">
        <v>41640</v>
      </c>
    </row>
    <row r="27" spans="1:27" s="83" customFormat="1" x14ac:dyDescent="0.25">
      <c r="A27" s="146" t="s">
        <v>11</v>
      </c>
      <c r="B27" s="153">
        <f>16061/360</f>
        <v>44.613888888888887</v>
      </c>
      <c r="C27" s="147"/>
      <c r="D27" s="129"/>
      <c r="E27" s="129"/>
      <c r="F27" s="154">
        <f>SUM(B27:E27)</f>
        <v>44.613888888888887</v>
      </c>
      <c r="G27" s="162">
        <f>F27*1.255</f>
        <v>55.990430555555548</v>
      </c>
      <c r="H27" s="126">
        <f>G27*360</f>
        <v>20156.554999999997</v>
      </c>
      <c r="I27" s="127">
        <f>G27*360</f>
        <v>20156.554999999997</v>
      </c>
      <c r="J27" s="128">
        <f>G27*360</f>
        <v>20156.554999999997</v>
      </c>
      <c r="K27" s="19">
        <f>16543/360</f>
        <v>45.952777777777776</v>
      </c>
      <c r="L27" s="17"/>
      <c r="M27" s="37"/>
      <c r="N27" s="37"/>
      <c r="O27" s="20">
        <f>SUM(K27:N27)</f>
        <v>45.952777777777776</v>
      </c>
      <c r="P27" s="23">
        <f>O27*1.255</f>
        <v>57.670736111111104</v>
      </c>
      <c r="Q27" s="45">
        <f>P27*360</f>
        <v>20761.464999999997</v>
      </c>
      <c r="R27" s="46">
        <f>P27*360</f>
        <v>20761.464999999997</v>
      </c>
      <c r="S27" s="47">
        <f>P27*360</f>
        <v>20761.464999999997</v>
      </c>
      <c r="T27" s="180">
        <f t="shared" si="0"/>
        <v>3.0010584646036981E-2</v>
      </c>
      <c r="U27" s="181">
        <f t="shared" si="1"/>
        <v>3.0010584646036981E-2</v>
      </c>
      <c r="V27" s="182">
        <f t="shared" si="2"/>
        <v>3.0010584646036981E-2</v>
      </c>
      <c r="W27" s="130">
        <f>(K27-B27)/B27</f>
        <v>3.0010584646036977E-2</v>
      </c>
      <c r="X27" s="131"/>
      <c r="Y27" s="132"/>
      <c r="Z27" s="50"/>
      <c r="AA27" s="50"/>
    </row>
    <row r="28" spans="1:27" s="83" customFormat="1" ht="15.75" thickBot="1" x14ac:dyDescent="0.3">
      <c r="A28" s="133" t="s">
        <v>12</v>
      </c>
      <c r="B28" s="155"/>
      <c r="C28" s="135"/>
      <c r="D28" s="135"/>
      <c r="E28" s="135"/>
      <c r="F28" s="136"/>
      <c r="G28" s="137"/>
      <c r="H28" s="138">
        <f>SUM(H26:H27)</f>
        <v>43790.714999999989</v>
      </c>
      <c r="I28" s="139">
        <f>SUM(I26:I27)</f>
        <v>67424.874999999985</v>
      </c>
      <c r="J28" s="140">
        <f>SUM(J26:J27)</f>
        <v>91059.034999999974</v>
      </c>
      <c r="K28" s="18"/>
      <c r="L28" s="12"/>
      <c r="M28" s="12"/>
      <c r="N28" s="12"/>
      <c r="O28" s="13"/>
      <c r="P28" s="54"/>
      <c r="Q28" s="14">
        <f>SUM(Q26:Q27)</f>
        <v>45033.164999999994</v>
      </c>
      <c r="R28" s="15">
        <f>SUM(R26:R27)</f>
        <v>69304.864999999991</v>
      </c>
      <c r="S28" s="16">
        <f>SUM(S26:S27)</f>
        <v>93576.564999999988</v>
      </c>
      <c r="T28" s="183">
        <f t="shared" si="0"/>
        <v>2.8372452927521385E-2</v>
      </c>
      <c r="U28" s="184">
        <f t="shared" si="1"/>
        <v>2.7882736156351874E-2</v>
      </c>
      <c r="V28" s="185">
        <f t="shared" si="2"/>
        <v>2.7647229075072166E-2</v>
      </c>
      <c r="W28" s="170"/>
      <c r="X28" s="171"/>
      <c r="Y28" s="172"/>
      <c r="Z28" s="51"/>
      <c r="AA28" s="51"/>
    </row>
    <row r="29" spans="1:27" s="83" customFormat="1" x14ac:dyDescent="0.25">
      <c r="W29" s="199"/>
      <c r="X29" s="200"/>
      <c r="Y29" s="173"/>
      <c r="Z29" s="173"/>
      <c r="AA29" s="173"/>
    </row>
    <row r="30" spans="1:27" s="83" customFormat="1" x14ac:dyDescent="0.25">
      <c r="A30" s="83" t="s">
        <v>29</v>
      </c>
      <c r="W30" s="173"/>
      <c r="X30" s="174"/>
      <c r="Y30" s="175"/>
      <c r="Z30" s="175"/>
      <c r="AA30" s="175"/>
    </row>
    <row r="31" spans="1:27" s="83" customFormat="1" x14ac:dyDescent="0.25">
      <c r="A31" s="83" t="s">
        <v>30</v>
      </c>
      <c r="W31" s="176"/>
      <c r="X31" s="176"/>
      <c r="Y31" s="176"/>
      <c r="Z31" s="176"/>
      <c r="AA31" s="176"/>
    </row>
    <row r="32" spans="1:27" x14ac:dyDescent="0.25">
      <c r="W32" s="201"/>
      <c r="X32" s="202"/>
      <c r="Y32" s="65"/>
      <c r="Z32" s="77"/>
      <c r="AA32" s="77"/>
    </row>
    <row r="33" spans="1:27" x14ac:dyDescent="0.25">
      <c r="A33" s="28"/>
      <c r="W33" s="65"/>
      <c r="X33" s="66"/>
      <c r="Y33" s="63"/>
      <c r="Z33" s="63"/>
      <c r="AA33" s="63"/>
    </row>
    <row r="34" spans="1:27" x14ac:dyDescent="0.25">
      <c r="W34" s="66"/>
      <c r="X34" s="66"/>
      <c r="Y34" s="66"/>
      <c r="Z34" s="66"/>
      <c r="AA34" s="66"/>
    </row>
  </sheetData>
  <mergeCells count="7">
    <mergeCell ref="B2:J2"/>
    <mergeCell ref="Z2:AA2"/>
    <mergeCell ref="W29:X29"/>
    <mergeCell ref="W32:X32"/>
    <mergeCell ref="K2:S2"/>
    <mergeCell ref="T2:V2"/>
    <mergeCell ref="W2:Y2"/>
  </mergeCells>
  <pageMargins left="0.25" right="0.25" top="0.75" bottom="0.75" header="0.3" footer="0.3"/>
  <pageSetup paperSize="8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76"/>
  <sheetViews>
    <sheetView zoomScaleNormal="100" workbookViewId="0">
      <selection activeCell="I28" sqref="I28"/>
    </sheetView>
  </sheetViews>
  <sheetFormatPr defaultRowHeight="15" x14ac:dyDescent="0.25"/>
  <cols>
    <col min="1" max="1" width="39.85546875" bestFit="1" customWidth="1"/>
    <col min="2" max="2" width="11.7109375" bestFit="1" customWidth="1"/>
    <col min="3" max="3" width="11.5703125" bestFit="1" customWidth="1"/>
    <col min="4" max="4" width="9.42578125" bestFit="1" customWidth="1"/>
    <col min="8" max="8" width="11" bestFit="1" customWidth="1"/>
    <col min="11" max="11" width="9.85546875" bestFit="1" customWidth="1"/>
    <col min="16" max="17" width="13.140625" bestFit="1" customWidth="1"/>
  </cols>
  <sheetData>
    <row r="1" spans="1:11" ht="16.5" customHeight="1" x14ac:dyDescent="0.25">
      <c r="A1" s="213" t="s">
        <v>16</v>
      </c>
      <c r="B1" s="214"/>
      <c r="C1" s="214"/>
      <c r="D1" s="215"/>
    </row>
    <row r="2" spans="1:11" ht="16.5" customHeight="1" x14ac:dyDescent="0.25">
      <c r="A2" s="71"/>
      <c r="B2" s="72">
        <v>41487</v>
      </c>
      <c r="C2" s="76">
        <v>41640</v>
      </c>
      <c r="D2" s="73" t="s">
        <v>14</v>
      </c>
    </row>
    <row r="3" spans="1:11" ht="16.5" customHeight="1" x14ac:dyDescent="0.25">
      <c r="A3" s="68" t="s">
        <v>53</v>
      </c>
      <c r="B3" s="74">
        <v>68556.131999999998</v>
      </c>
      <c r="C3" s="74">
        <v>69472.282000000007</v>
      </c>
      <c r="D3" s="191">
        <v>1.3363501896519027E-2</v>
      </c>
    </row>
    <row r="4" spans="1:11" ht="16.5" customHeight="1" x14ac:dyDescent="0.25">
      <c r="A4" s="68" t="s">
        <v>32</v>
      </c>
      <c r="B4" s="74">
        <v>62299.203999999998</v>
      </c>
      <c r="C4" s="74">
        <v>62319.284</v>
      </c>
      <c r="D4" s="191">
        <v>3.2231551465732608E-4</v>
      </c>
    </row>
    <row r="5" spans="1:11" ht="16.5" customHeight="1" x14ac:dyDescent="0.25">
      <c r="A5" s="69" t="s">
        <v>33</v>
      </c>
      <c r="B5" s="74">
        <v>64976.871999999981</v>
      </c>
      <c r="C5" s="74">
        <v>65147.552000000003</v>
      </c>
      <c r="D5" s="191">
        <v>2.6267808028681678E-3</v>
      </c>
    </row>
    <row r="6" spans="1:11" ht="16.5" customHeight="1" x14ac:dyDescent="0.25">
      <c r="A6" s="69" t="s">
        <v>34</v>
      </c>
      <c r="B6" s="74">
        <v>71054.334999999992</v>
      </c>
      <c r="C6" s="74">
        <v>71074.415000000008</v>
      </c>
      <c r="D6" s="191">
        <v>2.8260063231914424E-4</v>
      </c>
    </row>
    <row r="7" spans="1:11" ht="16.5" customHeight="1" x14ac:dyDescent="0.25">
      <c r="A7" s="69" t="s">
        <v>35</v>
      </c>
      <c r="B7" s="74">
        <v>94544.17</v>
      </c>
      <c r="C7" s="74">
        <v>94564.25</v>
      </c>
      <c r="D7" s="191">
        <v>2.1238750099558489E-4</v>
      </c>
    </row>
    <row r="8" spans="1:11" ht="16.5" customHeight="1" x14ac:dyDescent="0.25">
      <c r="A8" s="68" t="s">
        <v>36</v>
      </c>
      <c r="B8" s="74">
        <v>73068.609999999986</v>
      </c>
      <c r="C8" s="74">
        <v>73088.69</v>
      </c>
      <c r="D8" s="191">
        <v>2.7481020919949486E-4</v>
      </c>
    </row>
    <row r="9" spans="1:11" ht="16.5" customHeight="1" x14ac:dyDescent="0.25">
      <c r="A9" s="68" t="s">
        <v>37</v>
      </c>
      <c r="B9" s="74">
        <v>96961.299999999988</v>
      </c>
      <c r="C9" s="74">
        <v>100322.18999999999</v>
      </c>
      <c r="D9" s="191">
        <v>3.4662179653119338E-2</v>
      </c>
      <c r="H9" s="33"/>
    </row>
    <row r="10" spans="1:11" ht="16.5" customHeight="1" thickBot="1" x14ac:dyDescent="0.3">
      <c r="A10" s="70" t="s">
        <v>15</v>
      </c>
      <c r="B10" s="75">
        <v>67424.874999999985</v>
      </c>
      <c r="C10" s="75">
        <v>69304.864999999991</v>
      </c>
      <c r="D10" s="192">
        <v>2.7882736156351874E-2</v>
      </c>
      <c r="H10" s="33"/>
      <c r="I10" s="81"/>
      <c r="K10" s="33"/>
    </row>
    <row r="11" spans="1:11" ht="16.5" customHeight="1" x14ac:dyDescent="0.25"/>
    <row r="12" spans="1:11" ht="16.5" customHeight="1" thickBot="1" x14ac:dyDescent="0.3"/>
    <row r="13" spans="1:11" ht="16.5" customHeight="1" x14ac:dyDescent="0.25">
      <c r="A13" s="213" t="s">
        <v>18</v>
      </c>
      <c r="B13" s="214"/>
      <c r="C13" s="214"/>
      <c r="D13" s="215"/>
    </row>
    <row r="14" spans="1:11" ht="16.5" customHeight="1" x14ac:dyDescent="0.25">
      <c r="A14" s="71"/>
      <c r="B14" s="72">
        <v>41487</v>
      </c>
      <c r="C14" s="76">
        <v>41640</v>
      </c>
      <c r="D14" s="73" t="s">
        <v>14</v>
      </c>
    </row>
    <row r="15" spans="1:11" ht="16.5" customHeight="1" x14ac:dyDescent="0.25">
      <c r="A15" s="68" t="s">
        <v>31</v>
      </c>
      <c r="B15" s="74">
        <v>42422.011999999995</v>
      </c>
      <c r="C15" s="74">
        <v>43318.082000000002</v>
      </c>
      <c r="D15" s="189">
        <v>2.1122760514046508E-2</v>
      </c>
    </row>
    <row r="16" spans="1:11" ht="16.5" customHeight="1" x14ac:dyDescent="0.25">
      <c r="A16" s="68" t="s">
        <v>38</v>
      </c>
      <c r="B16" s="74">
        <v>36616.883999999998</v>
      </c>
      <c r="C16" s="74">
        <v>36616.883999999998</v>
      </c>
      <c r="D16" s="189">
        <v>0</v>
      </c>
    </row>
    <row r="17" spans="1:11" ht="16.5" customHeight="1" x14ac:dyDescent="0.25">
      <c r="A17" s="69" t="s">
        <v>39</v>
      </c>
      <c r="B17" s="74">
        <v>38842.751999999993</v>
      </c>
      <c r="C17" s="74">
        <v>38993.351999999992</v>
      </c>
      <c r="D17" s="189">
        <v>3.8771712158808566E-3</v>
      </c>
    </row>
    <row r="18" spans="1:11" ht="16.5" customHeight="1" x14ac:dyDescent="0.25">
      <c r="A18" s="69" t="s">
        <v>34</v>
      </c>
      <c r="B18" s="74">
        <v>46024.614999999991</v>
      </c>
      <c r="C18" s="74">
        <v>46024.614999999991</v>
      </c>
      <c r="D18" s="189">
        <v>0</v>
      </c>
    </row>
    <row r="19" spans="1:11" ht="16.5" customHeight="1" x14ac:dyDescent="0.25">
      <c r="A19" s="69" t="s">
        <v>35</v>
      </c>
      <c r="B19" s="74">
        <v>69514.449999999983</v>
      </c>
      <c r="C19" s="74">
        <v>69514.449999999983</v>
      </c>
      <c r="D19" s="189">
        <v>0</v>
      </c>
    </row>
    <row r="20" spans="1:11" ht="16.5" customHeight="1" x14ac:dyDescent="0.25">
      <c r="A20" s="68" t="s">
        <v>40</v>
      </c>
      <c r="B20" s="74">
        <v>47235.69</v>
      </c>
      <c r="C20" s="74">
        <v>47235.69</v>
      </c>
      <c r="D20" s="189">
        <v>0</v>
      </c>
    </row>
    <row r="21" spans="1:11" ht="16.5" customHeight="1" x14ac:dyDescent="0.25">
      <c r="A21" s="68" t="s">
        <v>41</v>
      </c>
      <c r="B21" s="74">
        <v>71128.38</v>
      </c>
      <c r="C21" s="74">
        <v>74469.19</v>
      </c>
      <c r="D21" s="189">
        <v>4.6968734561366327E-2</v>
      </c>
      <c r="H21" s="33"/>
    </row>
    <row r="22" spans="1:11" ht="16.5" customHeight="1" thickBot="1" x14ac:dyDescent="0.3">
      <c r="A22" s="70" t="s">
        <v>15</v>
      </c>
      <c r="B22" s="74">
        <v>42194.354999999996</v>
      </c>
      <c r="C22" s="74">
        <v>43451.864999999991</v>
      </c>
      <c r="D22" s="190">
        <v>2.980280182029077E-2</v>
      </c>
      <c r="H22" s="33"/>
      <c r="I22" s="81"/>
      <c r="K22" s="33"/>
    </row>
    <row r="23" spans="1:11" ht="16.5" customHeight="1" x14ac:dyDescent="0.25"/>
    <row r="24" spans="1:11" ht="16.5" customHeight="1" x14ac:dyDescent="0.25"/>
    <row r="25" spans="1:11" ht="16.5" customHeight="1" thickBot="1" x14ac:dyDescent="0.3"/>
    <row r="26" spans="1:11" ht="16.5" customHeight="1" x14ac:dyDescent="0.25">
      <c r="A26" s="213" t="s">
        <v>19</v>
      </c>
      <c r="B26" s="214"/>
      <c r="C26" s="214"/>
      <c r="D26" s="215"/>
    </row>
    <row r="27" spans="1:11" ht="16.5" customHeight="1" x14ac:dyDescent="0.25">
      <c r="A27" s="71"/>
      <c r="B27" s="72">
        <v>41487</v>
      </c>
      <c r="C27" s="76">
        <v>41640</v>
      </c>
      <c r="D27" s="73" t="s">
        <v>14</v>
      </c>
    </row>
    <row r="28" spans="1:11" ht="16.5" customHeight="1" x14ac:dyDescent="0.25">
      <c r="A28" s="68" t="s">
        <v>51</v>
      </c>
      <c r="B28" s="74">
        <v>26134.12</v>
      </c>
      <c r="C28" s="74">
        <v>26154.199999999997</v>
      </c>
      <c r="D28" s="191">
        <v>7.6834421820968558E-4</v>
      </c>
    </row>
    <row r="29" spans="1:11" ht="16.5" customHeight="1" x14ac:dyDescent="0.25">
      <c r="A29" s="68" t="s">
        <v>42</v>
      </c>
      <c r="B29" s="74">
        <v>25682.32</v>
      </c>
      <c r="C29" s="74">
        <v>25702.399999999998</v>
      </c>
      <c r="D29" s="191">
        <v>7.8186082877240487E-4</v>
      </c>
    </row>
    <row r="30" spans="1:11" ht="16.5" customHeight="1" x14ac:dyDescent="0.25">
      <c r="A30" s="69" t="s">
        <v>43</v>
      </c>
      <c r="B30" s="74">
        <v>26134.12</v>
      </c>
      <c r="C30" s="74">
        <v>26154.199999999997</v>
      </c>
      <c r="D30" s="191">
        <v>7.6834421820968558E-4</v>
      </c>
    </row>
    <row r="31" spans="1:11" ht="16.5" customHeight="1" x14ac:dyDescent="0.25">
      <c r="A31" s="69" t="s">
        <v>34</v>
      </c>
      <c r="B31" s="74">
        <v>25029.72</v>
      </c>
      <c r="C31" s="74">
        <v>25049.8</v>
      </c>
      <c r="D31" s="191">
        <v>8.0224628961083494E-4</v>
      </c>
    </row>
    <row r="32" spans="1:11" ht="16.5" customHeight="1" x14ac:dyDescent="0.25">
      <c r="A32" s="69" t="s">
        <v>35</v>
      </c>
      <c r="B32" s="74">
        <v>25029.72</v>
      </c>
      <c r="C32" s="74">
        <v>25049.8</v>
      </c>
      <c r="D32" s="191">
        <v>8.0224628961083494E-4</v>
      </c>
    </row>
    <row r="33" spans="1:11" ht="16.5" customHeight="1" x14ac:dyDescent="0.25">
      <c r="A33" s="68" t="s">
        <v>46</v>
      </c>
      <c r="B33" s="74">
        <v>25832.92</v>
      </c>
      <c r="C33" s="74">
        <v>25852.999999999993</v>
      </c>
      <c r="D33" s="191">
        <v>7.7730275942458193E-4</v>
      </c>
    </row>
    <row r="34" spans="1:11" ht="16.5" customHeight="1" x14ac:dyDescent="0.25">
      <c r="A34" s="68" t="s">
        <v>52</v>
      </c>
      <c r="B34" s="74">
        <v>25832.92</v>
      </c>
      <c r="C34" s="74">
        <v>25852.999999999993</v>
      </c>
      <c r="D34" s="191">
        <v>7.7730275942458193E-4</v>
      </c>
      <c r="H34" s="33"/>
    </row>
    <row r="35" spans="1:11" ht="16.5" customHeight="1" thickBot="1" x14ac:dyDescent="0.3">
      <c r="A35" s="70" t="s">
        <v>15</v>
      </c>
      <c r="B35" s="74">
        <v>25230.52</v>
      </c>
      <c r="C35" s="74">
        <v>25852.999999999993</v>
      </c>
      <c r="D35" s="192">
        <v>2.4671707122960299E-2</v>
      </c>
      <c r="H35" s="33"/>
      <c r="I35" s="81"/>
      <c r="K35" s="33"/>
    </row>
    <row r="41" spans="1:11" ht="15.75" customHeight="1" x14ac:dyDescent="0.25">
      <c r="A41" s="64"/>
      <c r="B41" s="64"/>
      <c r="C41" s="64"/>
      <c r="D41" s="64"/>
    </row>
    <row r="42" spans="1:11" ht="32.25" customHeight="1" x14ac:dyDescent="0.25"/>
    <row r="43" spans="1:11" ht="49.5" customHeight="1" x14ac:dyDescent="0.25"/>
    <row r="45" spans="1:11" ht="18.75" customHeight="1" x14ac:dyDescent="0.25"/>
    <row r="48" spans="1:11" ht="15.75" customHeight="1" x14ac:dyDescent="0.25"/>
    <row r="51" ht="17.25" customHeight="1" x14ac:dyDescent="0.25"/>
    <row r="55" ht="15.75" customHeight="1" x14ac:dyDescent="0.25"/>
    <row r="56" ht="15.75" customHeight="1" x14ac:dyDescent="0.25"/>
    <row r="60" ht="18.75" customHeight="1" x14ac:dyDescent="0.25"/>
    <row r="63" ht="18.75" customHeight="1" x14ac:dyDescent="0.25"/>
    <row r="73" spans="1:4" x14ac:dyDescent="0.25">
      <c r="A73" s="28"/>
      <c r="B73" s="64"/>
      <c r="C73" s="64"/>
      <c r="D73" s="64"/>
    </row>
    <row r="74" spans="1:4" x14ac:dyDescent="0.25">
      <c r="A74" s="64"/>
      <c r="B74" s="64"/>
      <c r="C74" s="64"/>
      <c r="D74" s="64"/>
    </row>
    <row r="75" spans="1:4" x14ac:dyDescent="0.25">
      <c r="A75" s="64"/>
      <c r="B75" s="64"/>
      <c r="C75" s="64"/>
      <c r="D75" s="64"/>
    </row>
    <row r="76" spans="1:4" x14ac:dyDescent="0.25">
      <c r="A76" s="64"/>
      <c r="B76" s="64"/>
      <c r="C76" s="64"/>
      <c r="D76" s="64"/>
    </row>
  </sheetData>
  <mergeCells count="3">
    <mergeCell ref="A1:D1"/>
    <mergeCell ref="A13:D13"/>
    <mergeCell ref="A26:D26"/>
  </mergeCells>
  <pageMargins left="0.7" right="0.7" top="0.75" bottom="0.75" header="0.3" footer="0.3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Heild</vt:lpstr>
      <vt:lpstr>4000 kwst</vt:lpstr>
      <vt:lpstr>Mynd heild</vt:lpstr>
      <vt:lpstr>Mynd fl og dr</vt:lpstr>
      <vt:lpstr>Mynd orkus</vt:lpstr>
      <vt:lpstr>'4000 kwst'!Print_Area</vt:lpstr>
      <vt:lpstr>Heild!Print_Area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Kristjana Birgisdottir</dc:creator>
  <cp:lastModifiedBy>snorrimar</cp:lastModifiedBy>
  <cp:lastPrinted>2014-01-14T09:32:48Z</cp:lastPrinted>
  <dcterms:created xsi:type="dcterms:W3CDTF">2010-06-30T10:33:36Z</dcterms:created>
  <dcterms:modified xsi:type="dcterms:W3CDTF">2014-01-14T10:50:26Z</dcterms:modified>
</cp:coreProperties>
</file>