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duralfa\Documents\"/>
    </mc:Choice>
  </mc:AlternateContent>
  <bookViews>
    <workbookView xWindow="0" yWindow="0" windowWidth="19140" windowHeight="6345"/>
  </bookViews>
  <sheets>
    <sheet name="Sheet1" sheetId="1" r:id="rId1"/>
    <sheet name="Sheet2" sheetId="2" r:id="rId2"/>
  </sheets>
  <calcPr calcId="171027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" i="1" l="1"/>
  <c r="G33" i="1"/>
  <c r="J9" i="1"/>
  <c r="J8" i="1"/>
  <c r="Y8" i="1" s="1"/>
  <c r="V8" i="1"/>
  <c r="Y9" i="1"/>
  <c r="V9" i="1"/>
  <c r="AC36" i="1"/>
  <c r="AC15" i="1"/>
  <c r="AD11" i="1"/>
  <c r="AD12" i="1"/>
  <c r="AD17" i="1"/>
  <c r="AD18" i="1"/>
  <c r="AD20" i="1"/>
  <c r="AD21" i="1"/>
  <c r="AD23" i="1"/>
  <c r="AD24" i="1"/>
  <c r="AD26" i="1"/>
  <c r="AD27" i="1"/>
  <c r="AD29" i="1"/>
  <c r="AD30" i="1"/>
  <c r="AD32" i="1"/>
  <c r="AD33" i="1"/>
  <c r="AD35" i="1"/>
  <c r="AD38" i="1"/>
  <c r="AD39" i="1"/>
  <c r="AD41" i="1"/>
  <c r="AD42" i="1"/>
  <c r="AD44" i="1"/>
  <c r="AD45" i="1"/>
  <c r="AD47" i="1"/>
  <c r="AD48" i="1"/>
  <c r="AD3" i="1"/>
  <c r="AD5" i="1"/>
  <c r="AD6" i="1"/>
  <c r="AD2" i="1"/>
  <c r="Y48" i="1"/>
  <c r="Y47" i="1"/>
  <c r="W48" i="1"/>
  <c r="V48" i="1"/>
  <c r="W47" i="1"/>
  <c r="V47" i="1"/>
  <c r="Z45" i="1"/>
  <c r="Z44" i="1"/>
  <c r="W44" i="1"/>
  <c r="J45" i="1"/>
  <c r="AC39" i="1"/>
  <c r="AC38" i="1"/>
  <c r="E39" i="1"/>
  <c r="AC33" i="1"/>
  <c r="AB33" i="1"/>
  <c r="AB30" i="1"/>
  <c r="B30" i="1"/>
  <c r="V27" i="1"/>
  <c r="V26" i="1"/>
  <c r="AB23" i="1"/>
  <c r="AB24" i="1"/>
  <c r="AC24" i="1"/>
  <c r="AC23" i="1"/>
  <c r="I21" i="1"/>
  <c r="W21" i="1" s="1"/>
  <c r="J20" i="1"/>
  <c r="J21" i="1" s="1"/>
  <c r="Z21" i="1" s="1"/>
  <c r="AA21" i="1" s="1"/>
  <c r="I20" i="1"/>
  <c r="W20" i="1" s="1"/>
  <c r="H21" i="1"/>
  <c r="F21" i="1"/>
  <c r="H20" i="1"/>
  <c r="G20" i="1"/>
  <c r="G21" i="1" s="1"/>
  <c r="F20" i="1"/>
  <c r="E20" i="1"/>
  <c r="E21" i="1" s="1"/>
  <c r="C21" i="1"/>
  <c r="D20" i="1"/>
  <c r="F14" i="1"/>
  <c r="J18" i="1"/>
  <c r="Y18" i="1" s="1"/>
  <c r="I18" i="1"/>
  <c r="I15" i="1"/>
  <c r="J15" i="1" s="1"/>
  <c r="Y15" i="1" s="1"/>
  <c r="AC14" i="1"/>
  <c r="W12" i="1"/>
  <c r="Z11" i="1"/>
  <c r="AC18" i="1"/>
  <c r="AC17" i="1"/>
  <c r="Z20" i="1" l="1"/>
  <c r="X21" i="1"/>
  <c r="X20" i="1"/>
  <c r="AC20" i="1" l="1"/>
  <c r="AC21" i="1" s="1"/>
  <c r="AA20" i="1"/>
  <c r="J6" i="1"/>
  <c r="N41" i="1"/>
  <c r="W41" i="1" s="1"/>
  <c r="J39" i="1"/>
  <c r="C38" i="1"/>
  <c r="C39" i="1" s="1"/>
  <c r="R33" i="1"/>
  <c r="R32" i="1"/>
  <c r="I33" i="1"/>
  <c r="H33" i="1"/>
  <c r="F33" i="1"/>
  <c r="E33" i="1"/>
  <c r="I32" i="1"/>
  <c r="H32" i="1"/>
  <c r="G32" i="1"/>
  <c r="F32" i="1"/>
  <c r="E32" i="1"/>
  <c r="D33" i="1"/>
  <c r="D32" i="1"/>
  <c r="E45" i="1"/>
  <c r="J32" i="1" l="1"/>
  <c r="Z32" i="1" s="1"/>
  <c r="W32" i="1"/>
  <c r="W33" i="1"/>
  <c r="J33" i="1"/>
  <c r="Z33" i="1" s="1"/>
  <c r="D21" i="1"/>
  <c r="AC32" i="1" l="1"/>
  <c r="P26" i="1"/>
  <c r="P27" i="1"/>
  <c r="J24" i="1"/>
  <c r="J23" i="1"/>
  <c r="V18" i="1"/>
  <c r="H18" i="1"/>
  <c r="G18" i="1"/>
  <c r="F18" i="1"/>
  <c r="E18" i="1"/>
  <c r="B18" i="1" s="1"/>
  <c r="I17" i="1"/>
  <c r="H17" i="1"/>
  <c r="G17" i="1"/>
  <c r="F17" i="1"/>
  <c r="E17" i="1"/>
  <c r="E14" i="1"/>
  <c r="W11" i="1"/>
  <c r="AC11" i="1" s="1"/>
  <c r="C11" i="1"/>
  <c r="C12" i="1"/>
  <c r="J12" i="1" s="1"/>
  <c r="Z12" i="1" s="1"/>
  <c r="V17" i="1" l="1"/>
  <c r="J17" i="1"/>
  <c r="Y17" i="1" s="1"/>
  <c r="AC12" i="1"/>
  <c r="B12" i="1"/>
  <c r="B11" i="1"/>
  <c r="B9" i="1" l="1"/>
  <c r="I8" i="1"/>
  <c r="G8" i="1"/>
  <c r="F8" i="1"/>
  <c r="E8" i="1"/>
  <c r="C9" i="1"/>
  <c r="H9" i="1" s="1"/>
  <c r="J5" i="1"/>
  <c r="I6" i="1"/>
  <c r="H6" i="1"/>
  <c r="G6" i="1"/>
  <c r="F6" i="1"/>
  <c r="E6" i="1"/>
  <c r="N5" i="1"/>
  <c r="V5" i="1" s="1"/>
  <c r="B2" i="1"/>
  <c r="B3" i="1"/>
  <c r="Q3" i="1"/>
  <c r="R3" i="1" s="1"/>
  <c r="Q2" i="1"/>
  <c r="R2" i="1" s="1"/>
  <c r="W2" i="1" s="1"/>
  <c r="X2" i="1" s="1"/>
  <c r="C2" i="1"/>
  <c r="R48" i="1"/>
  <c r="N48" i="1"/>
  <c r="D48" i="1"/>
  <c r="R47" i="1"/>
  <c r="N47" i="1"/>
  <c r="D47" i="1"/>
  <c r="Y44" i="1"/>
  <c r="B45" i="1"/>
  <c r="C45" i="1"/>
  <c r="F45" i="1"/>
  <c r="G45" i="1"/>
  <c r="H45" i="1"/>
  <c r="I45" i="1"/>
  <c r="W45" i="1" s="1"/>
  <c r="R42" i="1"/>
  <c r="Z42" i="1" s="1"/>
  <c r="C42" i="1"/>
  <c r="C41" i="1"/>
  <c r="R41" i="1"/>
  <c r="Z41" i="1" s="1"/>
  <c r="R39" i="1"/>
  <c r="Z39" i="1" s="1"/>
  <c r="AA39" i="1" s="1"/>
  <c r="R38" i="1"/>
  <c r="G39" i="1"/>
  <c r="H39" i="1"/>
  <c r="I39" i="1"/>
  <c r="W39" i="1" s="1"/>
  <c r="X39" i="1" s="1"/>
  <c r="F39" i="1"/>
  <c r="D38" i="1"/>
  <c r="R36" i="1"/>
  <c r="R35" i="1"/>
  <c r="C36" i="1"/>
  <c r="D36" i="1" s="1"/>
  <c r="C35" i="1"/>
  <c r="D35" i="1" s="1"/>
  <c r="R30" i="1"/>
  <c r="Z30" i="1" s="1"/>
  <c r="R29" i="1"/>
  <c r="W29" i="1" s="1"/>
  <c r="I30" i="1"/>
  <c r="H30" i="1"/>
  <c r="G30" i="1"/>
  <c r="F30" i="1"/>
  <c r="E30" i="1"/>
  <c r="C29" i="1"/>
  <c r="C26" i="1"/>
  <c r="R23" i="1"/>
  <c r="D24" i="1"/>
  <c r="D23" i="1"/>
  <c r="R27" i="1"/>
  <c r="R26" i="1"/>
  <c r="R9" i="1"/>
  <c r="R8" i="1"/>
  <c r="H8" i="1"/>
  <c r="D8" i="1"/>
  <c r="Z24" i="1"/>
  <c r="R24" i="1"/>
  <c r="X15" i="1"/>
  <c r="H15" i="1"/>
  <c r="G15" i="1"/>
  <c r="F15" i="1"/>
  <c r="E15" i="1"/>
  <c r="I14" i="1"/>
  <c r="J14" i="1" s="1"/>
  <c r="H14" i="1"/>
  <c r="G14" i="1"/>
  <c r="D11" i="1"/>
  <c r="D12" i="1"/>
  <c r="R6" i="1"/>
  <c r="Z6" i="1" s="1"/>
  <c r="R5" i="1"/>
  <c r="W5" i="1" s="1"/>
  <c r="C5" i="1"/>
  <c r="D5" i="1" s="1"/>
  <c r="N3" i="1"/>
  <c r="N2" i="1"/>
  <c r="N42" i="1"/>
  <c r="W42" i="1" s="1"/>
  <c r="X41" i="1"/>
  <c r="N39" i="1"/>
  <c r="N38" i="1"/>
  <c r="N36" i="1"/>
  <c r="N35" i="1"/>
  <c r="N33" i="1"/>
  <c r="N32" i="1"/>
  <c r="N30" i="1"/>
  <c r="Y30" i="1" s="1"/>
  <c r="N29" i="1"/>
  <c r="N27" i="1"/>
  <c r="N26" i="1"/>
  <c r="N24" i="1"/>
  <c r="N23" i="1"/>
  <c r="S23" i="1" s="1"/>
  <c r="N21" i="1"/>
  <c r="N20" i="1"/>
  <c r="N15" i="1"/>
  <c r="S15" i="1" s="1"/>
  <c r="N14" i="1"/>
  <c r="S14" i="1" s="1"/>
  <c r="N12" i="1"/>
  <c r="N11" i="1"/>
  <c r="S11" i="1" s="1"/>
  <c r="N9" i="1"/>
  <c r="N8" i="1"/>
  <c r="S8" i="1" s="1"/>
  <c r="N6" i="1"/>
  <c r="C3" i="1"/>
  <c r="B39" i="1"/>
  <c r="D39" i="1" s="1"/>
  <c r="D3" i="1"/>
  <c r="S32" i="1" l="1"/>
  <c r="V32" i="1"/>
  <c r="S6" i="1"/>
  <c r="S33" i="1"/>
  <c r="V33" i="1"/>
  <c r="X33" i="1" s="1"/>
  <c r="Y33" i="1"/>
  <c r="AA33" i="1" s="1"/>
  <c r="Y14" i="1"/>
  <c r="Z26" i="1"/>
  <c r="AC26" i="1" s="1"/>
  <c r="W26" i="1"/>
  <c r="W23" i="1"/>
  <c r="X23" i="1" s="1"/>
  <c r="W24" i="1"/>
  <c r="W30" i="1"/>
  <c r="V30" i="1"/>
  <c r="Z38" i="1"/>
  <c r="W38" i="1"/>
  <c r="Y29" i="1"/>
  <c r="V29" i="1"/>
  <c r="Y35" i="1"/>
  <c r="AA35" i="1" s="1"/>
  <c r="V35" i="1"/>
  <c r="Z27" i="1"/>
  <c r="AC27" i="1" s="1"/>
  <c r="W27" i="1"/>
  <c r="D26" i="1"/>
  <c r="C27" i="1"/>
  <c r="D27" i="1" s="1"/>
  <c r="W35" i="1"/>
  <c r="Z35" i="1"/>
  <c r="S24" i="1"/>
  <c r="V24" i="1"/>
  <c r="Y36" i="1"/>
  <c r="AA36" i="1" s="1"/>
  <c r="V36" i="1"/>
  <c r="W36" i="1"/>
  <c r="Z36" i="1"/>
  <c r="AA24" i="1"/>
  <c r="X48" i="1"/>
  <c r="I9" i="1"/>
  <c r="X9" i="1" s="1"/>
  <c r="X24" i="1"/>
  <c r="Z23" i="1"/>
  <c r="AA23" i="1" s="1"/>
  <c r="X42" i="1"/>
  <c r="Y45" i="1"/>
  <c r="AA47" i="1"/>
  <c r="AA26" i="1"/>
  <c r="AA38" i="1"/>
  <c r="X38" i="1"/>
  <c r="E9" i="1"/>
  <c r="X8" i="1"/>
  <c r="S26" i="1"/>
  <c r="Z3" i="1"/>
  <c r="W3" i="1"/>
  <c r="X3" i="1" s="1"/>
  <c r="X5" i="1"/>
  <c r="S12" i="1"/>
  <c r="V12" i="1"/>
  <c r="X12" i="1" s="1"/>
  <c r="V14" i="1"/>
  <c r="X14" i="1" s="1"/>
  <c r="X26" i="1"/>
  <c r="S39" i="1"/>
  <c r="W6" i="1"/>
  <c r="AC6" i="1" s="1"/>
  <c r="V6" i="1"/>
  <c r="Z2" i="1"/>
  <c r="S5" i="1"/>
  <c r="V11" i="1"/>
  <c r="X11" i="1" s="1"/>
  <c r="Z5" i="1"/>
  <c r="Y11" i="1"/>
  <c r="AA11" i="1" s="1"/>
  <c r="S38" i="1"/>
  <c r="AA48" i="1"/>
  <c r="Y6" i="1"/>
  <c r="AA6" i="1" s="1"/>
  <c r="Y12" i="1"/>
  <c r="AA12" i="1" s="1"/>
  <c r="S47" i="1"/>
  <c r="S48" i="1"/>
  <c r="D2" i="1"/>
  <c r="S3" i="1"/>
  <c r="S29" i="1"/>
  <c r="S27" i="1"/>
  <c r="S35" i="1"/>
  <c r="S9" i="1"/>
  <c r="S36" i="1"/>
  <c r="AA30" i="1"/>
  <c r="X29" i="1"/>
  <c r="D9" i="1"/>
  <c r="F9" i="1"/>
  <c r="X27" i="1"/>
  <c r="AA27" i="1"/>
  <c r="S30" i="1"/>
  <c r="G9" i="1"/>
  <c r="Z29" i="1"/>
  <c r="S2" i="1"/>
  <c r="F2" i="1"/>
  <c r="Z9" i="1" l="1"/>
  <c r="AD9" i="1" s="1"/>
  <c r="AA3" i="1"/>
  <c r="AC3" i="1"/>
  <c r="AA29" i="1"/>
  <c r="AC29" i="1"/>
  <c r="AC30" i="1" s="1"/>
  <c r="AA5" i="1"/>
  <c r="AA2" i="1"/>
  <c r="AC2" i="1"/>
  <c r="AC35" i="1"/>
  <c r="Y32" i="1"/>
  <c r="AA32" i="1" s="1"/>
  <c r="X32" i="1"/>
  <c r="X30" i="1"/>
  <c r="X6" i="1"/>
  <c r="X35" i="1"/>
  <c r="X36" i="1"/>
  <c r="Z8" i="1"/>
  <c r="AD8" i="1" s="1"/>
  <c r="AA8" i="1" l="1"/>
  <c r="AA9" i="1"/>
  <c r="D6" i="1"/>
</calcChain>
</file>

<file path=xl/sharedStrings.xml><?xml version="1.0" encoding="utf-8"?>
<sst xmlns="http://schemas.openxmlformats.org/spreadsheetml/2006/main" count="152" uniqueCount="92">
  <si>
    <t>Tímagjald 2017</t>
  </si>
  <si>
    <t>Fæði 2017 hádegi</t>
  </si>
  <si>
    <t>Samtals fæði 2017</t>
  </si>
  <si>
    <t>Systkina-afsl.með öðru barni</t>
  </si>
  <si>
    <t>Systkina-afsl.með þriðja barni</t>
  </si>
  <si>
    <t>8 tímar m. fæði í jan 2017</t>
  </si>
  <si>
    <t>Gildistaka nýjustu gjaldskrár</t>
  </si>
  <si>
    <r>
      <t xml:space="preserve">Reykjavík </t>
    </r>
    <r>
      <rPr>
        <sz val="10"/>
        <color rgb="FF000000"/>
        <rFont val="Arial"/>
        <family val="2"/>
      </rPr>
      <t>almennt gjald</t>
    </r>
  </si>
  <si>
    <t>Forgangshópur</t>
  </si>
  <si>
    <t>ath</t>
  </si>
  <si>
    <r>
      <t xml:space="preserve">Kópavogur </t>
    </r>
    <r>
      <rPr>
        <sz val="10"/>
        <color rgb="FF000000"/>
        <rFont val="Arial"/>
        <family val="2"/>
      </rPr>
      <t>almennt gjald</t>
    </r>
  </si>
  <si>
    <r>
      <t xml:space="preserve">Hafnarfjörður </t>
    </r>
    <r>
      <rPr>
        <sz val="10"/>
        <color rgb="FF000000"/>
        <rFont val="Arial"/>
        <family val="2"/>
      </rPr>
      <t>almennt gjald</t>
    </r>
  </si>
  <si>
    <t>100% afsl. fyrir fjórða barn.</t>
  </si>
  <si>
    <r>
      <t xml:space="preserve">Akureyri </t>
    </r>
    <r>
      <rPr>
        <sz val="10"/>
        <color rgb="FF000000"/>
        <rFont val="Arial"/>
        <family val="2"/>
      </rPr>
      <t>almennt gjald</t>
    </r>
  </si>
  <si>
    <r>
      <t xml:space="preserve">Reykjanesbær </t>
    </r>
    <r>
      <rPr>
        <sz val="10"/>
        <color rgb="FF000000"/>
        <rFont val="Arial"/>
        <family val="2"/>
      </rPr>
      <t>almennt gjald</t>
    </r>
  </si>
  <si>
    <r>
      <t xml:space="preserve">Garðabær </t>
    </r>
    <r>
      <rPr>
        <sz val="10"/>
        <color rgb="FF000000"/>
        <rFont val="Arial"/>
        <family val="2"/>
      </rPr>
      <t>almennt gjald</t>
    </r>
  </si>
  <si>
    <r>
      <t xml:space="preserve">Mosfellsbær </t>
    </r>
    <r>
      <rPr>
        <sz val="10"/>
        <color rgb="FF000000"/>
        <rFont val="Arial"/>
        <family val="2"/>
      </rPr>
      <t>almennt gjald</t>
    </r>
  </si>
  <si>
    <r>
      <t xml:space="preserve">Sveitafélagið Árborg </t>
    </r>
    <r>
      <rPr>
        <sz val="10"/>
        <color rgb="FF000000"/>
        <rFont val="Arial"/>
        <family val="2"/>
      </rPr>
      <t>almennt gjald</t>
    </r>
  </si>
  <si>
    <r>
      <t xml:space="preserve">Akranes </t>
    </r>
    <r>
      <rPr>
        <sz val="10"/>
        <color rgb="FF000000"/>
        <rFont val="Arial"/>
        <family val="2"/>
      </rPr>
      <t>almennt gjald</t>
    </r>
  </si>
  <si>
    <r>
      <t xml:space="preserve">Seltjarnarnes </t>
    </r>
    <r>
      <rPr>
        <sz val="10"/>
        <color rgb="FF000000"/>
        <rFont val="Arial"/>
        <family val="2"/>
      </rPr>
      <t>almennt gjald</t>
    </r>
  </si>
  <si>
    <r>
      <t xml:space="preserve">Vestmannaeyjar </t>
    </r>
    <r>
      <rPr>
        <sz val="10"/>
        <color rgb="FF000000"/>
        <rFont val="Arial"/>
        <family val="2"/>
      </rPr>
      <t>almennt gjald</t>
    </r>
  </si>
  <si>
    <r>
      <t xml:space="preserve">Sveitarfélagið Skagafjörður </t>
    </r>
    <r>
      <rPr>
        <sz val="10"/>
        <color rgb="FF000000"/>
        <rFont val="Arial"/>
        <family val="2"/>
      </rPr>
      <t>almennt gjald</t>
    </r>
  </si>
  <si>
    <r>
      <t xml:space="preserve">Ísafjarðarbær </t>
    </r>
    <r>
      <rPr>
        <sz val="10"/>
        <color rgb="FF000000"/>
        <rFont val="Arial"/>
        <family val="2"/>
      </rPr>
      <t>almennt gjald</t>
    </r>
  </si>
  <si>
    <t>Samtals fæði 2018</t>
  </si>
  <si>
    <t>Breyting á fæði frá jan ´17 til jan ´18</t>
  </si>
  <si>
    <t>Tímagjald 2018</t>
  </si>
  <si>
    <t xml:space="preserve">4 tímar jan 2018 </t>
  </si>
  <si>
    <t xml:space="preserve">5 tímar jan 2018 </t>
  </si>
  <si>
    <t>6 tímar jan 2018</t>
  </si>
  <si>
    <t>7 tímar jan 2018</t>
  </si>
  <si>
    <t>8 tímar jan 2018</t>
  </si>
  <si>
    <t>9 tímar jan 2018</t>
  </si>
  <si>
    <t>8 tímar m. fæði í jan 2018</t>
  </si>
  <si>
    <t>9 tímar m. fæði jan 2017</t>
  </si>
  <si>
    <t>9 tímar m. fæði jan 2018</t>
  </si>
  <si>
    <t>Breyting tímagjalds jan ´17 til jan ´18</t>
  </si>
  <si>
    <t>Breyting 9 tímar m. fæði jan ´17 til jan ´18</t>
  </si>
  <si>
    <t>Breyting 8 tímar m. fæði frá jan ´17 til jan ´18</t>
  </si>
  <si>
    <t>Hressing 2017 morgunverður /síðd</t>
  </si>
  <si>
    <t>Fyrir 15 mín vistun umfram 8 klst greiðast almennt 1530 kr. en 1070 kr. fyrir forgangshóp</t>
  </si>
  <si>
    <t>Hressing 2018 morgunmatur</t>
  </si>
  <si>
    <r>
      <t xml:space="preserve">Fljótsdalshérað </t>
    </r>
    <r>
      <rPr>
        <sz val="10"/>
        <color rgb="FF000000"/>
        <rFont val="Arial"/>
        <family val="2"/>
      </rPr>
      <t>almennt gjald</t>
    </r>
  </si>
  <si>
    <t>Fæði 2018 hádegismatur</t>
  </si>
  <si>
    <t xml:space="preserve">Gjald fyrir hverja hálfa klst umfram 8 tíma er 3870 og 2322 fyrir forgangshópa </t>
  </si>
  <si>
    <t>Ávaxta gjald/+ síðdegis-hressing 2018</t>
  </si>
  <si>
    <t>Ávaxtagjald/  síðdegis- hressing 2017</t>
  </si>
  <si>
    <t>Breytingar á leikskólagjöldum 2017-2018</t>
  </si>
  <si>
    <t>Fljótsdalshérað almennt gjald</t>
  </si>
  <si>
    <r>
      <rPr>
        <b/>
        <sz val="10"/>
        <color rgb="FF000000"/>
        <rFont val="Arial"/>
        <family val="2"/>
      </rPr>
      <t xml:space="preserve">Fjarðabyggð </t>
    </r>
    <r>
      <rPr>
        <sz val="10"/>
        <color rgb="FF000000"/>
        <rFont val="Arial"/>
        <family val="2"/>
      </rPr>
      <t>almennt gjald</t>
    </r>
  </si>
  <si>
    <r>
      <rPr>
        <b/>
        <sz val="10"/>
        <color rgb="FF000000"/>
        <rFont val="Arial"/>
        <family val="2"/>
      </rPr>
      <t xml:space="preserve"> Borgarbyggð</t>
    </r>
    <r>
      <rPr>
        <sz val="10"/>
        <color rgb="FF000000"/>
        <rFont val="Arial"/>
        <family val="2"/>
      </rPr>
      <t xml:space="preserve"> almennt gjald</t>
    </r>
  </si>
  <si>
    <t>Fæðisgjald er 7400 fyrir 4 og 5 tíma dvöl</t>
  </si>
  <si>
    <t>1.1.0217</t>
  </si>
  <si>
    <t>9. tíminn 2017</t>
  </si>
  <si>
    <t>9. tíminn 2018</t>
  </si>
  <si>
    <t>Breyting 9. tíminn jan'17-jan'18</t>
  </si>
  <si>
    <t>Forgangshópur  (40% afsl- tekjuviðmið)</t>
  </si>
  <si>
    <t xml:space="preserve">Afslátturinn er fyrir einstæða foreldra og báða foreldra í námi </t>
  </si>
  <si>
    <t>Forgangshópur (30% afsláttur)</t>
  </si>
  <si>
    <t>Forgangshópur (35% afsláttur)</t>
  </si>
  <si>
    <t>Forgangshópur (40% afsláttur)</t>
  </si>
  <si>
    <t>ath tekjuviðmið hækkaði fyrir skólaárið 2017/2018</t>
  </si>
  <si>
    <t>Forgangshópur/tekjuviðmið- 40% afsl</t>
  </si>
  <si>
    <t>Reykjavík almennt gjald</t>
  </si>
  <si>
    <t>Kópavogur almennt gjald</t>
  </si>
  <si>
    <t>Hafnarfjörður almennt gjald</t>
  </si>
  <si>
    <t>Akureyri almennt gjald</t>
  </si>
  <si>
    <t>Reykjanesbær almennt gjald</t>
  </si>
  <si>
    <t>Garðabær almennt gjald</t>
  </si>
  <si>
    <t>Mosfellsbær almennt gjald</t>
  </si>
  <si>
    <t>Sveitafélagið Árborg almennt gjald</t>
  </si>
  <si>
    <t>Akranes almennt gjald</t>
  </si>
  <si>
    <t>Seltjarnarnes almennt gjald</t>
  </si>
  <si>
    <t>Vestmannaeyjar almennt gjald</t>
  </si>
  <si>
    <t>Sveitarfélagið Skagafjörður almennt gjald</t>
  </si>
  <si>
    <t>Ísafjarðarbær almennt gjald</t>
  </si>
  <si>
    <t>Fjarðabyggð almennt gjald</t>
  </si>
  <si>
    <t xml:space="preserve"> Borgarbyggð almennt gjald</t>
  </si>
  <si>
    <t xml:space="preserve">Afsláttur er tekjutengdur: Dæmi sýna 40% afslátt </t>
  </si>
  <si>
    <t>Almennt gjald fyrir 9. tímann er 10.003 kr. en 4.133 kr. fyrir forgangshópa</t>
  </si>
  <si>
    <t>Almennt gjald fyrir 9. tímann er 5.558 kr en 3.335 fyrir forgangshópa</t>
  </si>
  <si>
    <t>9. tíminn eða tíminn milli 16-17 er á 4.895 kr ( 25% afsláttur fyrir forgangshópa)</t>
  </si>
  <si>
    <t xml:space="preserve">Almennt gjald fyrir 9. tímann er 14.066 kr. en fyrir forgangshópa 9.843 kr. </t>
  </si>
  <si>
    <t xml:space="preserve">9. tíminn alm. gjald er á 4.665 kr. og f. forgangshópa 2.798 kr. </t>
  </si>
  <si>
    <t>Almennt gjald fyrir 9. tímann er 3.530 kr. en 2.295 kr. fyrir forgangshópa</t>
  </si>
  <si>
    <t>Almennt gjald fyrir 9. tímann er 8.300 kr. en 5.810 fyrir forgangshópa</t>
  </si>
  <si>
    <t>Almennt gjald fyrir 9. tímann er 2.977 kr. en 2.084 kr. fyrir forgangshópa</t>
  </si>
  <si>
    <t>Almennt gjald fyrir 9. tímann er 3.122 kr. en 2.029 kr. fyrir forgangshópa</t>
  </si>
  <si>
    <t>Almennt gjald fyrir 9. tímann er 6.666 kr. en 4.666 fyrir forgangshópa</t>
  </si>
  <si>
    <t>Almennt gjald fyrir 9. tímann er 3.424 en 2.055 fyrir forgangshópa</t>
  </si>
  <si>
    <t>Leikskólinn Brúarási er ekki tekinn með. Almennt gjald fyrir 9. tímann er 9.548 kr. en 6.465 kr. fyrir forgangshópa</t>
  </si>
  <si>
    <t>Afsláttur er tekjutengdur - Verðin hér að ofan eru miðuð við 13 mánaða og eldri - Sér gjald er fyrir 13 mánaða og yngri - Fyrstu 4 tímarnir eru ódýrari en 5-8 tímar</t>
  </si>
  <si>
    <t>Almennt gjald fyrir 9. tímann er 7.074 kr. en 4.716 kr. fyrir forgangshópa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</si>
</sst>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&quot;    &quot;"/>
    <numFmt numFmtId="165" formatCode="0.0%"/>
    <numFmt numFmtId="166" formatCode="d&quot;.&quot;m&quot;.&quot;yyyy"/>
    <numFmt numFmtId="167" formatCode="d&quot;.&quot;m&quot;.&quot;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CE4D6"/>
      </patternFill>
    </fill>
    <fill>
      <patternFill patternType="solid">
        <fgColor theme="0"/>
        <bgColor rgb="FFFCE4D6"/>
      </patternFill>
    </fill>
    <fill>
      <patternFill patternType="solid">
        <fgColor theme="0"/>
        <bgColor rgb="FFDBDBDB"/>
      </patternFill>
    </fill>
    <fill>
      <patternFill patternType="solid">
        <fgColor theme="8" tint="0.79998168889431442"/>
        <bgColor rgb="FFDDEBF7"/>
      </patternFill>
    </fill>
    <fill>
      <patternFill patternType="solid">
        <fgColor rgb="FFE7E7FF"/>
        <bgColor rgb="FFB4C6E7"/>
      </patternFill>
    </fill>
    <fill>
      <patternFill patternType="solid">
        <fgColor rgb="FFE7E7FF"/>
        <bgColor indexed="64"/>
      </patternFill>
    </fill>
    <fill>
      <patternFill patternType="solid">
        <fgColor theme="3" tint="0.79998168889431442"/>
        <bgColor rgb="FFF2F2F2"/>
      </patternFill>
    </fill>
    <fill>
      <patternFill patternType="solid">
        <fgColor theme="7" tint="0.79998168889431442"/>
        <bgColor rgb="FFFCE4D6"/>
      </patternFill>
    </fill>
    <fill>
      <patternFill patternType="solid">
        <fgColor theme="9" tint="0.79998168889431442"/>
        <bgColor rgb="FFDBDBDB"/>
      </patternFill>
    </fill>
    <fill>
      <patternFill patternType="solid">
        <fgColor theme="7" tint="0.79998168889431442"/>
        <bgColor rgb="FFDBDBDB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1">
    <xf numFmtId="0" fontId="0" fillId="0" borderId="0" xfId="0"/>
    <xf numFmtId="3" fontId="3" fillId="3" borderId="7" xfId="0" applyNumberFormat="1" applyFont="1" applyFill="1" applyBorder="1" applyAlignment="1">
      <alignment horizontal="center" vertical="center"/>
    </xf>
    <xf numFmtId="164" fontId="3" fillId="6" borderId="7" xfId="0" applyNumberFormat="1" applyFont="1" applyFill="1" applyBorder="1" applyAlignment="1">
      <alignment horizontal="center" vertical="center" wrapText="1"/>
    </xf>
    <xf numFmtId="164" fontId="3" fillId="7" borderId="7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 wrapText="1"/>
    </xf>
    <xf numFmtId="9" fontId="3" fillId="8" borderId="7" xfId="1" applyFont="1" applyFill="1" applyBorder="1" applyAlignment="1">
      <alignment horizontal="center" vertical="center"/>
    </xf>
    <xf numFmtId="9" fontId="3" fillId="8" borderId="1" xfId="1" applyFont="1" applyFill="1" applyBorder="1" applyAlignment="1">
      <alignment horizontal="center" vertical="center"/>
    </xf>
    <xf numFmtId="3" fontId="3" fillId="9" borderId="7" xfId="0" applyNumberFormat="1" applyFont="1" applyFill="1" applyBorder="1" applyAlignment="1">
      <alignment horizontal="center" vertical="center"/>
    </xf>
    <xf numFmtId="3" fontId="3" fillId="9" borderId="1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165" fontId="3" fillId="5" borderId="7" xfId="0" applyNumberFormat="1" applyFont="1" applyFill="1" applyBorder="1" applyAlignment="1">
      <alignment horizontal="center" vertical="center"/>
    </xf>
    <xf numFmtId="9" fontId="3" fillId="11" borderId="7" xfId="0" applyNumberFormat="1" applyFont="1" applyFill="1" applyBorder="1" applyAlignment="1">
      <alignment horizontal="center" vertical="center"/>
    </xf>
    <xf numFmtId="164" fontId="3" fillId="6" borderId="7" xfId="0" applyNumberFormat="1" applyFont="1" applyFill="1" applyBorder="1" applyAlignment="1">
      <alignment horizontal="center" vertical="center"/>
    </xf>
    <xf numFmtId="165" fontId="3" fillId="12" borderId="7" xfId="0" applyNumberFormat="1" applyFont="1" applyFill="1" applyBorder="1" applyAlignment="1">
      <alignment horizontal="center" vertical="center"/>
    </xf>
    <xf numFmtId="165" fontId="3" fillId="13" borderId="7" xfId="0" applyNumberFormat="1" applyFont="1" applyFill="1" applyBorder="1" applyAlignment="1">
      <alignment horizontal="center" vertical="center"/>
    </xf>
    <xf numFmtId="166" fontId="3" fillId="3" borderId="8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/>
    </xf>
    <xf numFmtId="9" fontId="3" fillId="11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165" fontId="3" fillId="12" borderId="1" xfId="0" applyNumberFormat="1" applyFont="1" applyFill="1" applyBorder="1" applyAlignment="1">
      <alignment horizontal="center" vertical="center"/>
    </xf>
    <xf numFmtId="165" fontId="3" fillId="13" borderId="1" xfId="0" applyNumberFormat="1" applyFont="1" applyFill="1" applyBorder="1" applyAlignment="1">
      <alignment horizontal="center" vertical="center"/>
    </xf>
    <xf numFmtId="165" fontId="3" fillId="12" borderId="4" xfId="0" applyNumberFormat="1" applyFont="1" applyFill="1" applyBorder="1" applyAlignment="1">
      <alignment horizontal="center" vertical="center"/>
    </xf>
    <xf numFmtId="165" fontId="3" fillId="13" borderId="4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164" fontId="3" fillId="3" borderId="15" xfId="0" applyNumberFormat="1" applyFont="1" applyFill="1" applyBorder="1" applyAlignment="1">
      <alignment horizontal="center" vertical="center"/>
    </xf>
    <xf numFmtId="164" fontId="3" fillId="3" borderId="14" xfId="0" applyNumberFormat="1" applyFont="1" applyFill="1" applyBorder="1" applyAlignment="1">
      <alignment horizontal="center" vertical="center"/>
    </xf>
    <xf numFmtId="164" fontId="3" fillId="4" borderId="16" xfId="0" applyNumberFormat="1" applyFont="1" applyFill="1" applyBorder="1" applyAlignment="1">
      <alignment wrapText="1"/>
    </xf>
    <xf numFmtId="164" fontId="4" fillId="3" borderId="20" xfId="0" applyNumberFormat="1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164" fontId="4" fillId="8" borderId="22" xfId="0" applyNumberFormat="1" applyFont="1" applyFill="1" applyBorder="1" applyAlignment="1">
      <alignment horizontal="center" wrapText="1"/>
    </xf>
    <xf numFmtId="0" fontId="4" fillId="3" borderId="23" xfId="0" applyFont="1" applyFill="1" applyBorder="1" applyAlignment="1">
      <alignment horizontal="center" wrapText="1"/>
    </xf>
    <xf numFmtId="0" fontId="4" fillId="9" borderId="23" xfId="0" applyFont="1" applyFill="1" applyBorder="1" applyAlignment="1">
      <alignment horizontal="center" wrapText="1"/>
    </xf>
    <xf numFmtId="0" fontId="4" fillId="5" borderId="23" xfId="0" applyFont="1" applyFill="1" applyBorder="1" applyAlignment="1">
      <alignment horizontal="center" wrapText="1"/>
    </xf>
    <xf numFmtId="0" fontId="4" fillId="11" borderId="23" xfId="0" applyFont="1" applyFill="1" applyBorder="1" applyAlignment="1">
      <alignment horizontal="center" wrapText="1"/>
    </xf>
    <xf numFmtId="164" fontId="4" fillId="6" borderId="23" xfId="0" applyNumberFormat="1" applyFont="1" applyFill="1" applyBorder="1" applyAlignment="1">
      <alignment horizontal="center" wrapText="1"/>
    </xf>
    <xf numFmtId="0" fontId="4" fillId="13" borderId="23" xfId="0" applyFont="1" applyFill="1" applyBorder="1" applyAlignment="1">
      <alignment horizontal="center" wrapText="1"/>
    </xf>
    <xf numFmtId="164" fontId="4" fillId="7" borderId="23" xfId="0" applyNumberFormat="1" applyFont="1" applyFill="1" applyBorder="1" applyAlignment="1">
      <alignment horizontal="center" wrapText="1"/>
    </xf>
    <xf numFmtId="164" fontId="4" fillId="3" borderId="24" xfId="0" applyNumberFormat="1" applyFont="1" applyFill="1" applyBorder="1" applyAlignment="1">
      <alignment horizontal="center" wrapText="1"/>
    </xf>
    <xf numFmtId="165" fontId="3" fillId="8" borderId="1" xfId="1" applyNumberFormat="1" applyFont="1" applyFill="1" applyBorder="1" applyAlignment="1">
      <alignment horizontal="center" vertical="center"/>
    </xf>
    <xf numFmtId="166" fontId="3" fillId="3" borderId="9" xfId="0" applyNumberFormat="1" applyFont="1" applyFill="1" applyBorder="1" applyAlignment="1">
      <alignment horizontal="center" vertical="center"/>
    </xf>
    <xf numFmtId="164" fontId="3" fillId="6" borderId="4" xfId="0" applyNumberFormat="1" applyFont="1" applyFill="1" applyBorder="1" applyAlignment="1">
      <alignment horizontal="center" vertical="center" wrapText="1"/>
    </xf>
    <xf numFmtId="164" fontId="3" fillId="7" borderId="4" xfId="0" applyNumberFormat="1" applyFont="1" applyFill="1" applyBorder="1" applyAlignment="1">
      <alignment horizontal="center" vertical="center" wrapText="1"/>
    </xf>
    <xf numFmtId="165" fontId="3" fillId="8" borderId="7" xfId="1" applyNumberFormat="1" applyFont="1" applyFill="1" applyBorder="1" applyAlignment="1">
      <alignment horizontal="center" vertical="center"/>
    </xf>
    <xf numFmtId="3" fontId="7" fillId="3" borderId="7" xfId="0" applyNumberFormat="1" applyFont="1" applyFill="1" applyBorder="1" applyAlignment="1">
      <alignment horizontal="center" vertical="center"/>
    </xf>
    <xf numFmtId="1" fontId="7" fillId="3" borderId="7" xfId="0" applyNumberFormat="1" applyFont="1" applyFill="1" applyBorder="1" applyAlignment="1">
      <alignment horizontal="center" vertical="center"/>
    </xf>
    <xf numFmtId="14" fontId="3" fillId="3" borderId="9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165" fontId="3" fillId="13" borderId="13" xfId="0" applyNumberFormat="1" applyFont="1" applyFill="1" applyBorder="1" applyAlignment="1">
      <alignment horizontal="center" vertical="center"/>
    </xf>
    <xf numFmtId="165" fontId="3" fillId="13" borderId="5" xfId="0" applyNumberFormat="1" applyFont="1" applyFill="1" applyBorder="1" applyAlignment="1">
      <alignment horizontal="center" vertical="center"/>
    </xf>
    <xf numFmtId="164" fontId="3" fillId="7" borderId="8" xfId="0" applyNumberFormat="1" applyFont="1" applyFill="1" applyBorder="1" applyAlignment="1">
      <alignment horizontal="center" vertical="center" wrapText="1"/>
    </xf>
    <xf numFmtId="164" fontId="3" fillId="7" borderId="9" xfId="0" applyNumberFormat="1" applyFont="1" applyFill="1" applyBorder="1" applyAlignment="1">
      <alignment horizontal="center" vertical="center" wrapText="1"/>
    </xf>
    <xf numFmtId="164" fontId="3" fillId="7" borderId="10" xfId="0" applyNumberFormat="1" applyFont="1" applyFill="1" applyBorder="1" applyAlignment="1">
      <alignment horizontal="center" vertical="center" wrapText="1"/>
    </xf>
    <xf numFmtId="167" fontId="3" fillId="3" borderId="8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3" fontId="3" fillId="3" borderId="28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1" fontId="7" fillId="10" borderId="7" xfId="0" applyNumberFormat="1" applyFont="1" applyFill="1" applyBorder="1" applyAlignment="1">
      <alignment horizontal="center" vertical="center"/>
    </xf>
    <xf numFmtId="1" fontId="7" fillId="10" borderId="1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10" borderId="7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19" xfId="0" applyFont="1" applyFill="1" applyBorder="1" applyAlignment="1">
      <alignment wrapText="1"/>
    </xf>
    <xf numFmtId="0" fontId="3" fillId="4" borderId="17" xfId="0" applyFont="1" applyFill="1" applyBorder="1" applyAlignment="1">
      <alignment wrapText="1"/>
    </xf>
    <xf numFmtId="0" fontId="3" fillId="4" borderId="26" xfId="0" applyFont="1" applyFill="1" applyBorder="1" applyAlignment="1">
      <alignment wrapText="1"/>
    </xf>
    <xf numFmtId="3" fontId="3" fillId="0" borderId="15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9" fontId="3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/>
    <xf numFmtId="164" fontId="3" fillId="0" borderId="15" xfId="0" applyNumberFormat="1" applyFont="1" applyFill="1" applyBorder="1" applyAlignment="1">
      <alignment horizontal="center" vertical="center"/>
    </xf>
    <xf numFmtId="9" fontId="3" fillId="0" borderId="4" xfId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9" fontId="3" fillId="0" borderId="3" xfId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/>
    </xf>
    <xf numFmtId="165" fontId="3" fillId="0" borderId="4" xfId="1" applyNumberFormat="1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wrapText="1"/>
    </xf>
    <xf numFmtId="0" fontId="0" fillId="0" borderId="31" xfId="0" applyFill="1" applyBorder="1"/>
    <xf numFmtId="0" fontId="3" fillId="0" borderId="15" xfId="0" applyNumberFormat="1" applyFont="1" applyFill="1" applyBorder="1" applyAlignment="1">
      <alignment horizontal="center" vertical="center"/>
    </xf>
    <xf numFmtId="0" fontId="4" fillId="13" borderId="32" xfId="0" applyFont="1" applyFill="1" applyBorder="1" applyAlignment="1">
      <alignment horizontal="center" wrapText="1"/>
    </xf>
    <xf numFmtId="165" fontId="3" fillId="13" borderId="27" xfId="0" applyNumberFormat="1" applyFont="1" applyFill="1" applyBorder="1" applyAlignment="1">
      <alignment horizontal="center" vertical="center"/>
    </xf>
    <xf numFmtId="165" fontId="3" fillId="13" borderId="35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9" fontId="3" fillId="11" borderId="27" xfId="0" applyNumberFormat="1" applyFont="1" applyFill="1" applyBorder="1" applyAlignment="1">
      <alignment horizontal="center" vertical="center"/>
    </xf>
    <xf numFmtId="9" fontId="3" fillId="11" borderId="28" xfId="0" applyNumberFormat="1" applyFont="1" applyFill="1" applyBorder="1" applyAlignment="1">
      <alignment horizontal="center" vertical="center"/>
    </xf>
    <xf numFmtId="9" fontId="3" fillId="0" borderId="29" xfId="0" applyNumberFormat="1" applyFont="1" applyFill="1" applyBorder="1" applyAlignment="1">
      <alignment horizontal="center" vertical="center"/>
    </xf>
    <xf numFmtId="164" fontId="3" fillId="0" borderId="29" xfId="0" applyNumberFormat="1" applyFont="1" applyFill="1" applyBorder="1" applyAlignment="1">
      <alignment horizontal="center" vertical="center" wrapText="1"/>
    </xf>
    <xf numFmtId="165" fontId="3" fillId="0" borderId="29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9" fontId="3" fillId="11" borderId="6" xfId="0" applyNumberFormat="1" applyFont="1" applyFill="1" applyBorder="1" applyAlignment="1">
      <alignment horizontal="center" vertical="center"/>
    </xf>
    <xf numFmtId="9" fontId="3" fillId="11" borderId="3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9" fontId="3" fillId="13" borderId="27" xfId="1" applyFont="1" applyFill="1" applyBorder="1" applyAlignment="1">
      <alignment horizontal="center" vertical="center"/>
    </xf>
    <xf numFmtId="165" fontId="3" fillId="13" borderId="27" xfId="1" applyNumberFormat="1" applyFont="1" applyFill="1" applyBorder="1" applyAlignment="1">
      <alignment horizontal="center" vertical="center"/>
    </xf>
    <xf numFmtId="9" fontId="3" fillId="0" borderId="27" xfId="1" applyFont="1" applyFill="1" applyBorder="1" applyAlignment="1">
      <alignment horizontal="center" vertical="center"/>
    </xf>
    <xf numFmtId="165" fontId="3" fillId="2" borderId="7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/>
    </xf>
    <xf numFmtId="9" fontId="3" fillId="2" borderId="7" xfId="1" applyFont="1" applyFill="1" applyBorder="1" applyAlignment="1">
      <alignment horizontal="center" vertical="center"/>
    </xf>
    <xf numFmtId="9" fontId="3" fillId="2" borderId="1" xfId="1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wrapText="1"/>
    </xf>
    <xf numFmtId="9" fontId="0" fillId="0" borderId="0" xfId="1" applyFont="1"/>
    <xf numFmtId="164" fontId="0" fillId="0" borderId="0" xfId="0" applyNumberFormat="1"/>
    <xf numFmtId="0" fontId="0" fillId="0" borderId="0" xfId="0" applyBorder="1"/>
    <xf numFmtId="0" fontId="9" fillId="0" borderId="0" xfId="0" applyFont="1" applyFill="1" applyBorder="1"/>
    <xf numFmtId="166" fontId="3" fillId="3" borderId="39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/>
    <xf numFmtId="3" fontId="8" fillId="0" borderId="4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wrapText="1"/>
    </xf>
    <xf numFmtId="0" fontId="3" fillId="0" borderId="4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165" fontId="3" fillId="13" borderId="14" xfId="0" applyNumberFormat="1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wrapText="1"/>
    </xf>
    <xf numFmtId="164" fontId="3" fillId="3" borderId="13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9" fontId="3" fillId="8" borderId="2" xfId="1" applyFont="1" applyFill="1" applyBorder="1" applyAlignment="1">
      <alignment horizontal="center" vertical="center"/>
    </xf>
    <xf numFmtId="3" fontId="3" fillId="9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165" fontId="3" fillId="5" borderId="2" xfId="0" applyNumberFormat="1" applyFont="1" applyFill="1" applyBorder="1" applyAlignment="1">
      <alignment horizontal="center" vertical="center"/>
    </xf>
    <xf numFmtId="9" fontId="3" fillId="11" borderId="2" xfId="0" applyNumberFormat="1" applyFont="1" applyFill="1" applyBorder="1" applyAlignment="1">
      <alignment horizontal="center" vertical="center"/>
    </xf>
    <xf numFmtId="164" fontId="3" fillId="6" borderId="2" xfId="0" applyNumberFormat="1" applyFont="1" applyFill="1" applyBorder="1" applyAlignment="1">
      <alignment horizontal="center" vertical="center" wrapText="1"/>
    </xf>
    <xf numFmtId="165" fontId="3" fillId="12" borderId="2" xfId="0" applyNumberFormat="1" applyFont="1" applyFill="1" applyBorder="1" applyAlignment="1">
      <alignment horizontal="center" vertical="center"/>
    </xf>
    <xf numFmtId="164" fontId="3" fillId="7" borderId="2" xfId="0" applyNumberFormat="1" applyFont="1" applyFill="1" applyBorder="1" applyAlignment="1">
      <alignment horizontal="center" vertical="center" wrapText="1"/>
    </xf>
    <xf numFmtId="164" fontId="3" fillId="7" borderId="39" xfId="0" applyNumberFormat="1" applyFont="1" applyFill="1" applyBorder="1" applyAlignment="1">
      <alignment horizontal="center" vertical="center" wrapText="1"/>
    </xf>
    <xf numFmtId="9" fontId="3" fillId="13" borderId="35" xfId="1" applyFont="1" applyFill="1" applyBorder="1" applyAlignment="1">
      <alignment horizontal="center" vertical="center"/>
    </xf>
    <xf numFmtId="0" fontId="0" fillId="0" borderId="31" xfId="0" applyBorder="1"/>
    <xf numFmtId="165" fontId="3" fillId="0" borderId="15" xfId="0" applyNumberFormat="1" applyFont="1" applyFill="1" applyBorder="1" applyAlignment="1">
      <alignment horizontal="center" vertical="center"/>
    </xf>
    <xf numFmtId="9" fontId="3" fillId="0" borderId="41" xfId="1" applyFont="1" applyFill="1" applyBorder="1" applyAlignment="1">
      <alignment horizontal="center" vertical="center"/>
    </xf>
    <xf numFmtId="3" fontId="3" fillId="3" borderId="35" xfId="0" applyNumberFormat="1" applyFont="1" applyFill="1" applyBorder="1" applyAlignment="1">
      <alignment horizontal="center" vertical="center"/>
    </xf>
    <xf numFmtId="3" fontId="3" fillId="0" borderId="43" xfId="0" applyNumberFormat="1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165" fontId="3" fillId="13" borderId="2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/>
    </xf>
    <xf numFmtId="9" fontId="3" fillId="0" borderId="40" xfId="1" applyFont="1" applyFill="1" applyBorder="1" applyAlignment="1">
      <alignment horizontal="center" vertical="center"/>
    </xf>
    <xf numFmtId="0" fontId="4" fillId="14" borderId="23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164" fontId="3" fillId="0" borderId="27" xfId="0" applyNumberFormat="1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" fontId="3" fillId="0" borderId="33" xfId="0" applyNumberFormat="1" applyFont="1" applyFill="1" applyBorder="1" applyAlignment="1">
      <alignment horizontal="center" vertical="center"/>
    </xf>
    <xf numFmtId="164" fontId="3" fillId="0" borderId="38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7E7FF"/>
      <color rgb="FFE1E1FF"/>
      <color rgb="FFCC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abSelected="1" zoomScaleNormal="100" workbookViewId="0">
      <pane xSplit="1" topLeftCell="B1" activePane="topRight" state="frozen"/>
      <selection pane="topRight" activeCell="A9" sqref="A9"/>
    </sheetView>
  </sheetViews>
  <sheetFormatPr defaultRowHeight="15" x14ac:dyDescent="0.25"/>
  <cols>
    <col min="1" max="1" width="31.85546875" customWidth="1"/>
    <col min="2" max="15" width="11.7109375" customWidth="1"/>
    <col min="16" max="16" width="12.5703125" customWidth="1"/>
    <col min="17" max="28" width="11.7109375" customWidth="1"/>
    <col min="29" max="29" width="13.140625" customWidth="1"/>
    <col min="30" max="30" width="14.7109375" customWidth="1"/>
    <col min="31" max="31" width="11.7109375" customWidth="1"/>
  </cols>
  <sheetData>
    <row r="1" spans="1:34" ht="72" customHeight="1" thickBot="1" x14ac:dyDescent="0.3">
      <c r="A1" s="63" t="s">
        <v>46</v>
      </c>
      <c r="B1" s="37" t="s">
        <v>0</v>
      </c>
      <c r="C1" s="38" t="s">
        <v>25</v>
      </c>
      <c r="D1" s="39" t="s">
        <v>35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38</v>
      </c>
      <c r="L1" s="40" t="s">
        <v>45</v>
      </c>
      <c r="M1" s="40" t="s">
        <v>1</v>
      </c>
      <c r="N1" s="41" t="s">
        <v>2</v>
      </c>
      <c r="O1" s="40" t="s">
        <v>40</v>
      </c>
      <c r="P1" s="40" t="s">
        <v>44</v>
      </c>
      <c r="Q1" s="40" t="s">
        <v>42</v>
      </c>
      <c r="R1" s="41" t="s">
        <v>23</v>
      </c>
      <c r="S1" s="42" t="s">
        <v>24</v>
      </c>
      <c r="T1" s="43" t="s">
        <v>3</v>
      </c>
      <c r="U1" s="43" t="s">
        <v>4</v>
      </c>
      <c r="V1" s="44" t="s">
        <v>5</v>
      </c>
      <c r="W1" s="44" t="s">
        <v>32</v>
      </c>
      <c r="X1" s="188" t="s">
        <v>37</v>
      </c>
      <c r="Y1" s="46" t="s">
        <v>33</v>
      </c>
      <c r="Z1" s="46" t="s">
        <v>34</v>
      </c>
      <c r="AA1" s="45" t="s">
        <v>36</v>
      </c>
      <c r="AB1" s="189" t="s">
        <v>52</v>
      </c>
      <c r="AC1" s="189" t="s">
        <v>53</v>
      </c>
      <c r="AD1" s="114" t="s">
        <v>54</v>
      </c>
      <c r="AE1" s="47" t="s">
        <v>6</v>
      </c>
    </row>
    <row r="2" spans="1:34" ht="19.5" customHeight="1" thickBot="1" x14ac:dyDescent="0.3">
      <c r="A2" s="74" t="s">
        <v>7</v>
      </c>
      <c r="B2" s="35">
        <f>8480/4</f>
        <v>2120</v>
      </c>
      <c r="C2" s="11">
        <f>E2/4</f>
        <v>1808</v>
      </c>
      <c r="D2" s="7">
        <f>(C2-B2)/B2</f>
        <v>-0.14716981132075471</v>
      </c>
      <c r="E2" s="1">
        <v>7232</v>
      </c>
      <c r="F2" s="1">
        <f>E2+C2</f>
        <v>9040</v>
      </c>
      <c r="G2" s="1">
        <v>10848</v>
      </c>
      <c r="H2" s="1">
        <v>12656</v>
      </c>
      <c r="I2" s="1">
        <v>14464</v>
      </c>
      <c r="J2" s="1">
        <v>24467</v>
      </c>
      <c r="K2" s="1">
        <v>2105</v>
      </c>
      <c r="L2" s="1">
        <v>2105</v>
      </c>
      <c r="M2" s="1">
        <v>6277</v>
      </c>
      <c r="N2" s="9">
        <f>K2+L2+M2</f>
        <v>10487</v>
      </c>
      <c r="O2" s="1">
        <v>2162</v>
      </c>
      <c r="P2" s="1">
        <v>2162</v>
      </c>
      <c r="Q2" s="1">
        <f>8608-P2</f>
        <v>6446</v>
      </c>
      <c r="R2" s="66">
        <f>Q2+P2+O2</f>
        <v>10770</v>
      </c>
      <c r="S2" s="18">
        <f>(R2-N2)/N2</f>
        <v>2.6985791932869267E-2</v>
      </c>
      <c r="T2" s="19">
        <v>0.75</v>
      </c>
      <c r="U2" s="19">
        <v>1</v>
      </c>
      <c r="V2" s="2">
        <v>27447</v>
      </c>
      <c r="W2" s="20">
        <f>I2+R2</f>
        <v>25234</v>
      </c>
      <c r="X2" s="21">
        <f>(W2-V2)/V2</f>
        <v>-8.0628119648777641E-2</v>
      </c>
      <c r="Y2" s="3">
        <v>39167</v>
      </c>
      <c r="Z2" s="3">
        <f>J2+R2</f>
        <v>35237</v>
      </c>
      <c r="AA2" s="22">
        <f>(Z2-Y2)/Y2</f>
        <v>-0.10033957157811423</v>
      </c>
      <c r="AB2" s="128">
        <v>11720</v>
      </c>
      <c r="AC2" s="190">
        <f>Z2-W2</f>
        <v>10003</v>
      </c>
      <c r="AD2" s="141">
        <f>(AC2-AB2)/AB2</f>
        <v>-0.14650170648464164</v>
      </c>
      <c r="AE2" s="23">
        <v>43101</v>
      </c>
      <c r="AG2" s="149"/>
    </row>
    <row r="3" spans="1:34" ht="19.5" customHeight="1" thickBot="1" x14ac:dyDescent="0.3">
      <c r="A3" s="75" t="s">
        <v>59</v>
      </c>
      <c r="B3" s="33">
        <f>3520/4</f>
        <v>880</v>
      </c>
      <c r="C3" s="12">
        <f>E3/4</f>
        <v>750</v>
      </c>
      <c r="D3" s="8">
        <f>(C3-B3)/B3</f>
        <v>-0.14772727272727273</v>
      </c>
      <c r="E3" s="4">
        <v>3000</v>
      </c>
      <c r="F3" s="4">
        <v>3750</v>
      </c>
      <c r="G3" s="4">
        <v>4500</v>
      </c>
      <c r="H3" s="4">
        <v>5250</v>
      </c>
      <c r="I3" s="4">
        <v>6000</v>
      </c>
      <c r="J3" s="4">
        <v>10133</v>
      </c>
      <c r="K3" s="4">
        <v>2105</v>
      </c>
      <c r="L3" s="4">
        <v>2105</v>
      </c>
      <c r="M3" s="4">
        <v>6277</v>
      </c>
      <c r="N3" s="10">
        <f>K3+L3+M3</f>
        <v>10487</v>
      </c>
      <c r="O3" s="4">
        <v>2162</v>
      </c>
      <c r="P3" s="4">
        <v>2162</v>
      </c>
      <c r="Q3" s="4">
        <f>8608-P3</f>
        <v>6446</v>
      </c>
      <c r="R3" s="67">
        <f>Q3+P3+O3</f>
        <v>10770</v>
      </c>
      <c r="S3" s="25">
        <f>(R3-N3)/N3</f>
        <v>2.6985791932869267E-2</v>
      </c>
      <c r="T3" s="26">
        <v>0.75</v>
      </c>
      <c r="U3" s="26">
        <v>1</v>
      </c>
      <c r="V3" s="5">
        <v>17527</v>
      </c>
      <c r="W3" s="5">
        <f>I3+R3</f>
        <v>16770</v>
      </c>
      <c r="X3" s="28">
        <f>(W3-V3)/V3</f>
        <v>-4.3190506076339362E-2</v>
      </c>
      <c r="Y3" s="6">
        <v>22372</v>
      </c>
      <c r="Z3" s="6">
        <f>J3+R3</f>
        <v>20903</v>
      </c>
      <c r="AA3" s="29">
        <f>(Z3-Y3)/Y3</f>
        <v>-6.5662435186840687E-2</v>
      </c>
      <c r="AB3" s="129">
        <v>4845</v>
      </c>
      <c r="AC3" s="191">
        <f>Z3-W3</f>
        <v>4133</v>
      </c>
      <c r="AD3" s="141">
        <f t="shared" ref="AD3:AD48" si="0">(AC3-AB3)/AB3</f>
        <v>-0.14695562435500517</v>
      </c>
      <c r="AE3" s="49">
        <v>43101</v>
      </c>
    </row>
    <row r="4" spans="1:34" ht="19.5" customHeight="1" thickBot="1" x14ac:dyDescent="0.3">
      <c r="A4" s="76" t="s">
        <v>9</v>
      </c>
      <c r="B4" s="89"/>
      <c r="C4" s="80"/>
      <c r="D4" s="81"/>
      <c r="E4" s="151" t="s">
        <v>78</v>
      </c>
      <c r="F4" s="155"/>
      <c r="H4" s="82"/>
      <c r="I4" s="155"/>
      <c r="J4" s="82"/>
      <c r="K4" s="82"/>
      <c r="L4" s="82"/>
      <c r="M4" s="82"/>
      <c r="N4" s="82"/>
      <c r="O4" s="84"/>
      <c r="P4" s="84"/>
      <c r="Q4" s="84"/>
      <c r="R4" s="84"/>
      <c r="S4" s="85"/>
      <c r="T4" s="83" t="s">
        <v>12</v>
      </c>
      <c r="U4" s="83"/>
      <c r="V4" s="91"/>
      <c r="W4" s="91"/>
      <c r="X4" s="85"/>
      <c r="Y4" s="91"/>
      <c r="Z4" s="91"/>
      <c r="AA4" s="85"/>
      <c r="AB4" s="117"/>
      <c r="AC4" s="117"/>
      <c r="AD4" s="143"/>
      <c r="AE4" s="87"/>
      <c r="AG4" s="150"/>
    </row>
    <row r="5" spans="1:34" ht="19.5" customHeight="1" thickBot="1" x14ac:dyDescent="0.3">
      <c r="A5" s="74" t="s">
        <v>10</v>
      </c>
      <c r="B5" s="35">
        <v>2791</v>
      </c>
      <c r="C5" s="11">
        <f>E5/4</f>
        <v>2866</v>
      </c>
      <c r="D5" s="52">
        <f>(C5-B5)/B5</f>
        <v>2.6872088857040486E-2</v>
      </c>
      <c r="E5" s="53">
        <v>11464</v>
      </c>
      <c r="F5" s="1">
        <v>14330</v>
      </c>
      <c r="G5" s="1">
        <v>17196</v>
      </c>
      <c r="H5" s="1">
        <v>20062</v>
      </c>
      <c r="I5" s="1">
        <v>22928</v>
      </c>
      <c r="J5" s="1">
        <f>I5+4688+9378</f>
        <v>36994</v>
      </c>
      <c r="K5" s="1">
        <v>2123</v>
      </c>
      <c r="L5" s="1"/>
      <c r="M5" s="1">
        <v>6152</v>
      </c>
      <c r="N5" s="9">
        <f>SUM(K5:M5)</f>
        <v>8275</v>
      </c>
      <c r="O5" s="54">
        <v>2179</v>
      </c>
      <c r="P5" s="68"/>
      <c r="Q5" s="68">
        <v>6317</v>
      </c>
      <c r="R5" s="66">
        <f>O5+Q5</f>
        <v>8496</v>
      </c>
      <c r="S5" s="18">
        <f>(R5-N5)/N5</f>
        <v>2.6706948640483383E-2</v>
      </c>
      <c r="T5" s="19">
        <v>0.3</v>
      </c>
      <c r="U5" s="19">
        <v>0.75</v>
      </c>
      <c r="V5" s="2">
        <f>(B5*8)+N5</f>
        <v>30603</v>
      </c>
      <c r="W5" s="2">
        <f>I5+R5</f>
        <v>31424</v>
      </c>
      <c r="X5" s="21">
        <f>(W5-V5)/V5</f>
        <v>2.6827435218769402E-2</v>
      </c>
      <c r="Y5" s="3">
        <v>44301</v>
      </c>
      <c r="Z5" s="3">
        <f>J5+R5</f>
        <v>45490</v>
      </c>
      <c r="AA5" s="22">
        <f>(Z5-Y5)/Y5</f>
        <v>2.6839123270355071E-2</v>
      </c>
      <c r="AB5" s="128">
        <v>13698</v>
      </c>
      <c r="AC5" s="190">
        <f>Z5-W5</f>
        <v>14066</v>
      </c>
      <c r="AD5" s="142">
        <f t="shared" si="0"/>
        <v>2.6865235800846838E-2</v>
      </c>
      <c r="AE5" s="23">
        <v>43101</v>
      </c>
      <c r="AG5" s="149"/>
    </row>
    <row r="6" spans="1:34" ht="19.5" customHeight="1" thickBot="1" x14ac:dyDescent="0.3">
      <c r="A6" s="75" t="s">
        <v>8</v>
      </c>
      <c r="B6" s="33">
        <v>1954</v>
      </c>
      <c r="C6" s="15">
        <v>2006</v>
      </c>
      <c r="D6" s="48">
        <f>(C6-B6)/B6</f>
        <v>2.6612077789150462E-2</v>
      </c>
      <c r="E6" s="73">
        <f>C6*4</f>
        <v>8024</v>
      </c>
      <c r="F6" s="4">
        <f>C6*5</f>
        <v>10030</v>
      </c>
      <c r="G6" s="4">
        <f>C6*6</f>
        <v>12036</v>
      </c>
      <c r="H6" s="4">
        <f>C6*7</f>
        <v>14042</v>
      </c>
      <c r="I6" s="4">
        <f>C6*8</f>
        <v>16048</v>
      </c>
      <c r="J6" s="4">
        <f>(C6*8)+3280+6563</f>
        <v>25891</v>
      </c>
      <c r="K6" s="4">
        <v>2123</v>
      </c>
      <c r="L6" s="4"/>
      <c r="M6" s="4">
        <v>6152</v>
      </c>
      <c r="N6" s="10">
        <f>SUM(K6:M6)</f>
        <v>8275</v>
      </c>
      <c r="O6" s="69">
        <v>2179</v>
      </c>
      <c r="P6" s="69"/>
      <c r="Q6" s="69">
        <v>6317</v>
      </c>
      <c r="R6" s="67">
        <f>O6+Q6</f>
        <v>8496</v>
      </c>
      <c r="S6" s="25">
        <f>(R6-N6)/N6</f>
        <v>2.6706948640483383E-2</v>
      </c>
      <c r="T6" s="26">
        <v>0.3</v>
      </c>
      <c r="U6" s="26">
        <v>0.75</v>
      </c>
      <c r="V6" s="5">
        <f>(B9*8)+N6</f>
        <v>23107</v>
      </c>
      <c r="W6" s="5">
        <f>I6+R6</f>
        <v>24544</v>
      </c>
      <c r="X6" s="28">
        <f>(W6-V6)/V6</f>
        <v>6.2188947072315745E-2</v>
      </c>
      <c r="Y6" s="6">
        <f>(B6*8)+3196+6393+N6</f>
        <v>33496</v>
      </c>
      <c r="Z6" s="6">
        <f>J6+R6</f>
        <v>34387</v>
      </c>
      <c r="AA6" s="29">
        <f>(Z6-Y6)/Y6</f>
        <v>2.6600191067590161E-2</v>
      </c>
      <c r="AB6" s="129">
        <v>9589</v>
      </c>
      <c r="AC6" s="190">
        <f>Z6-W6</f>
        <v>9843</v>
      </c>
      <c r="AD6" s="142">
        <f t="shared" si="0"/>
        <v>2.6488684951506934E-2</v>
      </c>
      <c r="AE6" s="55">
        <v>43101</v>
      </c>
      <c r="AH6" s="150"/>
    </row>
    <row r="7" spans="1:34" ht="19.5" customHeight="1" thickBot="1" x14ac:dyDescent="0.3">
      <c r="A7" s="76" t="s">
        <v>9</v>
      </c>
      <c r="B7" s="89"/>
      <c r="C7" s="107"/>
      <c r="F7" s="80" t="s">
        <v>81</v>
      </c>
      <c r="G7" s="88"/>
      <c r="H7" s="82"/>
      <c r="I7" s="82"/>
      <c r="K7" s="82"/>
      <c r="L7" s="82"/>
      <c r="M7" s="82"/>
      <c r="N7" s="82"/>
      <c r="O7" s="84"/>
      <c r="P7" s="84"/>
      <c r="Q7" s="84"/>
      <c r="R7" s="84"/>
      <c r="S7" s="85"/>
      <c r="T7" s="83" t="s">
        <v>12</v>
      </c>
      <c r="U7" s="83"/>
      <c r="V7" s="91"/>
      <c r="W7" s="91"/>
      <c r="X7" s="85"/>
      <c r="Y7" s="91"/>
      <c r="Z7" s="91"/>
      <c r="AA7" s="85"/>
      <c r="AB7" s="117"/>
      <c r="AC7" s="117"/>
      <c r="AD7" s="143"/>
      <c r="AE7" s="87"/>
      <c r="AH7" s="150"/>
    </row>
    <row r="8" spans="1:34" ht="19.5" customHeight="1" thickBot="1" x14ac:dyDescent="0.3">
      <c r="A8" s="74" t="s">
        <v>11</v>
      </c>
      <c r="B8" s="35">
        <v>3090</v>
      </c>
      <c r="C8" s="17">
        <v>3090</v>
      </c>
      <c r="D8" s="52">
        <f t="shared" ref="D8:D9" si="1">(C8-B8)/B8</f>
        <v>0</v>
      </c>
      <c r="E8" s="1">
        <f>C8*4</f>
        <v>12360</v>
      </c>
      <c r="F8" s="1">
        <f>C8*5</f>
        <v>15450</v>
      </c>
      <c r="G8" s="1">
        <f>SUM(C8)*6</f>
        <v>18540</v>
      </c>
      <c r="H8" s="1">
        <f>SUM(C8)*7</f>
        <v>21630</v>
      </c>
      <c r="I8" s="1">
        <f>SUM(C8)*8</f>
        <v>24720</v>
      </c>
      <c r="J8" s="1">
        <f>I8+5558</f>
        <v>30278</v>
      </c>
      <c r="K8" s="1">
        <v>1762</v>
      </c>
      <c r="L8" s="1">
        <v>1762</v>
      </c>
      <c r="M8" s="1">
        <v>5013</v>
      </c>
      <c r="N8" s="9">
        <f>SUM(K8:M8)</f>
        <v>8537</v>
      </c>
      <c r="O8" s="1">
        <v>1762</v>
      </c>
      <c r="P8" s="1">
        <v>1762</v>
      </c>
      <c r="Q8" s="1">
        <v>5013</v>
      </c>
      <c r="R8" s="9">
        <f>SUM(O8:Q8)</f>
        <v>8537</v>
      </c>
      <c r="S8" s="18">
        <f t="shared" ref="S8:S9" si="2">(R8-N8)/N8</f>
        <v>0</v>
      </c>
      <c r="T8" s="19">
        <v>0.5</v>
      </c>
      <c r="U8" s="19">
        <v>0.75</v>
      </c>
      <c r="V8" s="20">
        <f>I8+R8</f>
        <v>33257</v>
      </c>
      <c r="W8" s="20">
        <v>33257</v>
      </c>
      <c r="X8" s="21">
        <f t="shared" ref="X8:X9" si="3">(W8-V8)/V8</f>
        <v>0</v>
      </c>
      <c r="Y8" s="3">
        <f>J8+R8</f>
        <v>38815</v>
      </c>
      <c r="Z8" s="3">
        <f>J8+R8</f>
        <v>38815</v>
      </c>
      <c r="AA8" s="22">
        <f>(Z8-Y8)/Y8</f>
        <v>0</v>
      </c>
      <c r="AB8" s="128">
        <v>5558</v>
      </c>
      <c r="AC8" s="190">
        <v>5558</v>
      </c>
      <c r="AD8" s="141">
        <f t="shared" si="0"/>
        <v>0</v>
      </c>
      <c r="AE8" s="23">
        <v>42736</v>
      </c>
    </row>
    <row r="9" spans="1:34" ht="19.5" customHeight="1" thickBot="1" x14ac:dyDescent="0.3">
      <c r="A9" s="148" t="s">
        <v>61</v>
      </c>
      <c r="B9" s="33">
        <f>B8*0.6</f>
        <v>1854</v>
      </c>
      <c r="C9" s="24">
        <f>C8*0.6</f>
        <v>1854</v>
      </c>
      <c r="D9" s="48">
        <f t="shared" si="1"/>
        <v>0</v>
      </c>
      <c r="E9" s="4">
        <f>SUM(C9)*4</f>
        <v>7416</v>
      </c>
      <c r="F9" s="4">
        <f>SUM(C9)*5</f>
        <v>9270</v>
      </c>
      <c r="G9" s="4">
        <f>SUM(C9)*6</f>
        <v>11124</v>
      </c>
      <c r="H9" s="4">
        <f>SUM(C9)*7</f>
        <v>12978</v>
      </c>
      <c r="I9" s="4">
        <f>SUM(C9)*8</f>
        <v>14832</v>
      </c>
      <c r="J9" s="4">
        <f>I9+(5558*0.6)</f>
        <v>18166.8</v>
      </c>
      <c r="K9" s="4">
        <v>1762</v>
      </c>
      <c r="L9" s="4">
        <v>1762</v>
      </c>
      <c r="M9" s="4">
        <v>5013</v>
      </c>
      <c r="N9" s="10">
        <f>SUM(K9:M9)</f>
        <v>8537</v>
      </c>
      <c r="O9" s="4">
        <v>1762</v>
      </c>
      <c r="P9" s="4">
        <v>1762</v>
      </c>
      <c r="Q9" s="4">
        <v>5013</v>
      </c>
      <c r="R9" s="10">
        <f>SUM(O9:Q9)</f>
        <v>8537</v>
      </c>
      <c r="S9" s="25">
        <f t="shared" si="2"/>
        <v>0</v>
      </c>
      <c r="T9" s="26">
        <v>0.5</v>
      </c>
      <c r="U9" s="26">
        <v>0.75</v>
      </c>
      <c r="V9" s="27">
        <f>I9+N9</f>
        <v>23369</v>
      </c>
      <c r="W9" s="27">
        <v>23369</v>
      </c>
      <c r="X9" s="28">
        <f t="shared" si="3"/>
        <v>0</v>
      </c>
      <c r="Y9" s="6">
        <f>J9+N9</f>
        <v>26703.8</v>
      </c>
      <c r="Z9" s="6">
        <f>J9+R9</f>
        <v>26703.8</v>
      </c>
      <c r="AA9" s="29">
        <f t="shared" ref="AA9" si="4">(Z9-Y9)/Y9</f>
        <v>0</v>
      </c>
      <c r="AB9" s="129">
        <v>3335</v>
      </c>
      <c r="AC9" s="190">
        <v>3335</v>
      </c>
      <c r="AD9" s="141">
        <f t="shared" si="0"/>
        <v>0</v>
      </c>
      <c r="AE9" s="55">
        <v>42736</v>
      </c>
    </row>
    <row r="10" spans="1:34" ht="27.75" customHeight="1" thickBot="1" x14ac:dyDescent="0.3">
      <c r="A10" s="160" t="s">
        <v>60</v>
      </c>
      <c r="B10" s="100"/>
      <c r="D10" s="159" t="s">
        <v>77</v>
      </c>
      <c r="F10" s="100"/>
      <c r="H10" s="100"/>
      <c r="I10" s="100" t="s">
        <v>79</v>
      </c>
      <c r="J10" s="100"/>
      <c r="K10" s="100"/>
      <c r="L10" s="100"/>
      <c r="M10" s="100"/>
      <c r="N10" s="100"/>
      <c r="O10" s="101"/>
      <c r="P10" s="101"/>
      <c r="Q10" s="151"/>
      <c r="R10" s="101"/>
      <c r="S10" s="102"/>
      <c r="T10" s="103" t="s">
        <v>12</v>
      </c>
      <c r="U10" s="103"/>
      <c r="V10" s="104"/>
      <c r="W10" s="104"/>
      <c r="X10" s="102"/>
      <c r="Y10" s="104"/>
      <c r="Z10" s="104"/>
      <c r="AA10" s="151"/>
      <c r="AB10" s="120"/>
      <c r="AC10" s="120"/>
      <c r="AD10" s="161"/>
      <c r="AE10" s="110"/>
      <c r="AG10" s="88"/>
    </row>
    <row r="11" spans="1:34" ht="19.5" customHeight="1" thickBot="1" x14ac:dyDescent="0.3">
      <c r="A11" s="74" t="s">
        <v>13</v>
      </c>
      <c r="B11" s="35">
        <f>13804/4</f>
        <v>3451</v>
      </c>
      <c r="C11" s="11">
        <f>E11/4</f>
        <v>3537</v>
      </c>
      <c r="D11" s="52">
        <f>(C11-B11)/B11</f>
        <v>2.4920312952767313E-2</v>
      </c>
      <c r="E11" s="1">
        <v>14148</v>
      </c>
      <c r="F11" s="1">
        <v>17685</v>
      </c>
      <c r="G11" s="1">
        <v>21222</v>
      </c>
      <c r="H11" s="1">
        <v>24759</v>
      </c>
      <c r="I11" s="1">
        <v>28296</v>
      </c>
      <c r="J11" s="1">
        <v>35370</v>
      </c>
      <c r="K11" s="1">
        <v>2059</v>
      </c>
      <c r="L11" s="1">
        <v>2059</v>
      </c>
      <c r="M11" s="1">
        <v>4308</v>
      </c>
      <c r="N11" s="9">
        <f>SUM(K11:M11)</f>
        <v>8426</v>
      </c>
      <c r="O11" s="68">
        <v>2110</v>
      </c>
      <c r="P11" s="68">
        <v>2110</v>
      </c>
      <c r="Q11" s="68">
        <v>4416</v>
      </c>
      <c r="R11" s="70">
        <v>8636</v>
      </c>
      <c r="S11" s="18">
        <f>(R11-N11)/N11</f>
        <v>2.4922857821030146E-2</v>
      </c>
      <c r="T11" s="19">
        <v>0.5</v>
      </c>
      <c r="U11" s="19">
        <v>1</v>
      </c>
      <c r="V11" s="2">
        <f>(B11*8)+N11</f>
        <v>36034</v>
      </c>
      <c r="W11" s="2">
        <f>I11+R11</f>
        <v>36932</v>
      </c>
      <c r="X11" s="21">
        <f>(W11-V11)/V11</f>
        <v>2.4920908031303767E-2</v>
      </c>
      <c r="Y11" s="3">
        <f>(B11*10)+N11</f>
        <v>42936</v>
      </c>
      <c r="Z11" s="59">
        <f>J11+R11</f>
        <v>44006</v>
      </c>
      <c r="AA11" s="163">
        <f>(Z11-Y11)/Y11</f>
        <v>2.4920812371902367E-2</v>
      </c>
      <c r="AB11" s="192">
        <v>6902</v>
      </c>
      <c r="AC11" s="121">
        <f>Z11-W11</f>
        <v>7074</v>
      </c>
      <c r="AD11" s="115">
        <f t="shared" si="0"/>
        <v>2.4920312952767313E-2</v>
      </c>
      <c r="AE11" s="23">
        <v>43101</v>
      </c>
    </row>
    <row r="12" spans="1:34" ht="19.5" customHeight="1" thickBot="1" x14ac:dyDescent="0.3">
      <c r="A12" s="36" t="s">
        <v>8</v>
      </c>
      <c r="B12" s="33">
        <f>9112/4</f>
        <v>2278</v>
      </c>
      <c r="C12" s="12">
        <f>E12/4</f>
        <v>2358</v>
      </c>
      <c r="D12" s="48">
        <f>(C12-B12)/B12</f>
        <v>3.5118525021949079E-2</v>
      </c>
      <c r="E12" s="4">
        <v>9432</v>
      </c>
      <c r="F12" s="4">
        <v>11790</v>
      </c>
      <c r="G12" s="4">
        <v>14148</v>
      </c>
      <c r="H12" s="4">
        <v>16506</v>
      </c>
      <c r="I12" s="4">
        <v>18864</v>
      </c>
      <c r="J12" s="4">
        <f>I12+C12+C12</f>
        <v>23580</v>
      </c>
      <c r="K12" s="4">
        <v>2059</v>
      </c>
      <c r="L12" s="4">
        <v>2059</v>
      </c>
      <c r="M12" s="4">
        <v>4308</v>
      </c>
      <c r="N12" s="10">
        <f>SUM(K12:M12)</f>
        <v>8426</v>
      </c>
      <c r="O12" s="69">
        <v>2110</v>
      </c>
      <c r="P12" s="69">
        <v>2110</v>
      </c>
      <c r="Q12" s="69">
        <v>4416</v>
      </c>
      <c r="R12" s="71">
        <v>8636</v>
      </c>
      <c r="S12" s="25">
        <f>(R12-N12)/N12</f>
        <v>2.4922857821030146E-2</v>
      </c>
      <c r="T12" s="26">
        <v>0.5</v>
      </c>
      <c r="U12" s="26">
        <v>1</v>
      </c>
      <c r="V12" s="5">
        <f>(B12*8)+N12</f>
        <v>26650</v>
      </c>
      <c r="W12" s="5">
        <f>I12+R12</f>
        <v>27500</v>
      </c>
      <c r="X12" s="28">
        <f>(W12-V12)/V12</f>
        <v>3.1894934333958722E-2</v>
      </c>
      <c r="Y12" s="6">
        <f>(B12*10)+N12</f>
        <v>31206</v>
      </c>
      <c r="Z12" s="60">
        <f>J12+R12</f>
        <v>32216</v>
      </c>
      <c r="AA12" s="58">
        <f>(Z12-Y12)/Y12</f>
        <v>3.2365570723578797E-2</v>
      </c>
      <c r="AB12" s="118">
        <v>4556</v>
      </c>
      <c r="AC12" s="193">
        <f>Z12-W12</f>
        <v>4716</v>
      </c>
      <c r="AD12" s="115">
        <f t="shared" si="0"/>
        <v>3.5118525021949079E-2</v>
      </c>
      <c r="AE12" s="55">
        <v>43101</v>
      </c>
      <c r="AH12" s="150"/>
    </row>
    <row r="13" spans="1:34" ht="19.5" customHeight="1" thickBot="1" x14ac:dyDescent="0.3">
      <c r="A13" s="76" t="s">
        <v>9</v>
      </c>
      <c r="B13" s="34"/>
      <c r="C13" s="13"/>
      <c r="D13" s="90"/>
      <c r="E13" s="14" t="s">
        <v>91</v>
      </c>
      <c r="F13" s="14"/>
      <c r="G13" s="14"/>
      <c r="H13" s="14"/>
      <c r="I13" s="14"/>
      <c r="J13" s="14"/>
      <c r="K13" s="14"/>
      <c r="L13" s="14"/>
      <c r="M13" s="14"/>
      <c r="N13" s="82"/>
      <c r="O13" s="84"/>
      <c r="P13" s="84"/>
      <c r="Q13" s="84"/>
      <c r="R13" s="84"/>
      <c r="S13" s="85"/>
      <c r="T13" s="178"/>
      <c r="U13" s="83"/>
      <c r="V13" s="91"/>
      <c r="W13" s="91"/>
      <c r="X13" s="85"/>
      <c r="Y13" s="51"/>
      <c r="Z13" s="61"/>
      <c r="AA13" s="179"/>
      <c r="AB13" s="113"/>
      <c r="AC13" s="113"/>
      <c r="AD13" s="180"/>
      <c r="AE13" s="32"/>
    </row>
    <row r="14" spans="1:34" ht="19.5" customHeight="1" thickBot="1" x14ac:dyDescent="0.3">
      <c r="A14" s="164" t="s">
        <v>14</v>
      </c>
      <c r="B14" s="165">
        <v>3245</v>
      </c>
      <c r="C14" s="166">
        <v>3245</v>
      </c>
      <c r="D14" s="167">
        <v>0</v>
      </c>
      <c r="E14" s="72">
        <f>C14*4</f>
        <v>12980</v>
      </c>
      <c r="F14" s="72">
        <f>C14*5</f>
        <v>16225</v>
      </c>
      <c r="G14" s="72">
        <f>C14*6</f>
        <v>19470</v>
      </c>
      <c r="H14" s="72">
        <f>C14*7</f>
        <v>22715</v>
      </c>
      <c r="I14" s="72">
        <f>C14*8</f>
        <v>25960</v>
      </c>
      <c r="J14" s="72">
        <f>I14+4895</f>
        <v>30855</v>
      </c>
      <c r="K14" s="72">
        <v>2180</v>
      </c>
      <c r="L14" s="72">
        <v>2180</v>
      </c>
      <c r="M14" s="72">
        <v>4265</v>
      </c>
      <c r="N14" s="168">
        <f>SUM(K14:M14)</f>
        <v>8625</v>
      </c>
      <c r="O14" s="169">
        <v>2180</v>
      </c>
      <c r="P14" s="169">
        <v>2180</v>
      </c>
      <c r="Q14" s="169">
        <v>4265</v>
      </c>
      <c r="R14" s="170">
        <v>8625</v>
      </c>
      <c r="S14" s="171">
        <f>(R14-N14)/N14</f>
        <v>0</v>
      </c>
      <c r="T14" s="172">
        <v>0.5</v>
      </c>
      <c r="U14" s="172">
        <v>1</v>
      </c>
      <c r="V14" s="173">
        <f>I14+N14</f>
        <v>34585</v>
      </c>
      <c r="W14" s="173">
        <v>34585</v>
      </c>
      <c r="X14" s="174">
        <f>(W14-V14)/V14</f>
        <v>0</v>
      </c>
      <c r="Y14" s="175">
        <f>J14+N14</f>
        <v>39480</v>
      </c>
      <c r="Z14" s="176">
        <v>39480</v>
      </c>
      <c r="AA14" s="57">
        <v>0</v>
      </c>
      <c r="AB14" s="162">
        <v>4895</v>
      </c>
      <c r="AC14" s="193">
        <f>Z14-W14</f>
        <v>4895</v>
      </c>
      <c r="AD14" s="177">
        <v>0</v>
      </c>
      <c r="AE14" s="153">
        <v>43101</v>
      </c>
    </row>
    <row r="15" spans="1:34" ht="19.5" customHeight="1" thickBot="1" x14ac:dyDescent="0.3">
      <c r="A15" s="75" t="s">
        <v>8</v>
      </c>
      <c r="B15" s="33">
        <v>2445</v>
      </c>
      <c r="C15" s="12">
        <v>2445</v>
      </c>
      <c r="D15" s="8">
        <v>0</v>
      </c>
      <c r="E15" s="4">
        <f>B15*4</f>
        <v>9780</v>
      </c>
      <c r="F15" s="4">
        <f>B15*5</f>
        <v>12225</v>
      </c>
      <c r="G15" s="4">
        <f>B15*6</f>
        <v>14670</v>
      </c>
      <c r="H15" s="4">
        <f>B15*7</f>
        <v>17115</v>
      </c>
      <c r="I15" s="4">
        <f>B15*8</f>
        <v>19560</v>
      </c>
      <c r="J15" s="4">
        <f>I15+(4895*0.75)</f>
        <v>23231.25</v>
      </c>
      <c r="K15" s="4">
        <v>2180</v>
      </c>
      <c r="L15" s="4">
        <v>2180</v>
      </c>
      <c r="M15" s="4">
        <v>4265</v>
      </c>
      <c r="N15" s="10">
        <f>SUM(K15:M15)</f>
        <v>8625</v>
      </c>
      <c r="O15" s="69">
        <v>2180</v>
      </c>
      <c r="P15" s="69">
        <v>2180</v>
      </c>
      <c r="Q15" s="69">
        <v>4265</v>
      </c>
      <c r="R15" s="71">
        <v>8625</v>
      </c>
      <c r="S15" s="25">
        <f>(R15-N15)/N15</f>
        <v>0</v>
      </c>
      <c r="T15" s="26">
        <v>0.5</v>
      </c>
      <c r="U15" s="26">
        <v>1</v>
      </c>
      <c r="V15" s="5">
        <v>28185</v>
      </c>
      <c r="W15" s="5">
        <v>28185</v>
      </c>
      <c r="X15" s="28">
        <f>(W15-V15)/V15</f>
        <v>0</v>
      </c>
      <c r="Y15" s="6">
        <f>J15+R15</f>
        <v>31856.25</v>
      </c>
      <c r="Z15" s="60">
        <v>31856</v>
      </c>
      <c r="AA15" s="58">
        <v>0</v>
      </c>
      <c r="AB15" s="118">
        <v>3671</v>
      </c>
      <c r="AC15" s="124">
        <f>4895*0.75</f>
        <v>3671.25</v>
      </c>
      <c r="AD15" s="141">
        <v>0</v>
      </c>
      <c r="AE15" s="55">
        <v>43101</v>
      </c>
    </row>
    <row r="16" spans="1:34" ht="19.5" customHeight="1" thickBot="1" x14ac:dyDescent="0.3">
      <c r="A16" s="77" t="s">
        <v>9</v>
      </c>
      <c r="B16" s="98"/>
      <c r="C16" s="151"/>
      <c r="D16" s="99"/>
      <c r="E16" s="156" t="s">
        <v>80</v>
      </c>
      <c r="F16" s="82"/>
      <c r="G16" s="100"/>
      <c r="H16" s="100"/>
      <c r="I16" s="100"/>
      <c r="J16" s="100"/>
      <c r="K16" s="100"/>
      <c r="L16" s="100"/>
      <c r="M16" s="100"/>
      <c r="N16" s="100"/>
      <c r="O16" s="101"/>
      <c r="P16" s="101"/>
      <c r="Q16" s="101"/>
      <c r="R16" s="101"/>
      <c r="S16" s="102"/>
      <c r="T16" s="103" t="s">
        <v>12</v>
      </c>
      <c r="U16" s="103"/>
      <c r="V16" s="104"/>
      <c r="W16" s="104"/>
      <c r="X16" s="102"/>
      <c r="Y16" s="104"/>
      <c r="Z16" s="105"/>
      <c r="AA16" s="106"/>
      <c r="AB16" s="119"/>
      <c r="AC16" s="119"/>
      <c r="AD16" s="143"/>
      <c r="AE16" s="110"/>
    </row>
    <row r="17" spans="1:34" ht="19.5" customHeight="1" thickBot="1" x14ac:dyDescent="0.3">
      <c r="A17" s="74" t="s">
        <v>15</v>
      </c>
      <c r="B17" s="35">
        <v>3870</v>
      </c>
      <c r="C17" s="11">
        <v>3870</v>
      </c>
      <c r="D17" s="7">
        <v>0</v>
      </c>
      <c r="E17" s="1">
        <f>B17*4</f>
        <v>15480</v>
      </c>
      <c r="F17" s="1">
        <f>B17*5</f>
        <v>19350</v>
      </c>
      <c r="G17" s="1">
        <f>B17*6</f>
        <v>23220</v>
      </c>
      <c r="H17" s="1">
        <f>C17*7</f>
        <v>27090</v>
      </c>
      <c r="I17" s="1">
        <f>C17*8</f>
        <v>30960</v>
      </c>
      <c r="J17" s="1">
        <f>I17+3870+3870</f>
        <v>38700</v>
      </c>
      <c r="K17" s="1"/>
      <c r="L17" s="1"/>
      <c r="M17" s="1">
        <v>7505</v>
      </c>
      <c r="N17" s="9">
        <v>7505</v>
      </c>
      <c r="O17" s="68"/>
      <c r="P17" s="68"/>
      <c r="Q17" s="1">
        <v>7505</v>
      </c>
      <c r="R17" s="9">
        <v>7505</v>
      </c>
      <c r="S17" s="18">
        <v>0</v>
      </c>
      <c r="T17" s="19">
        <v>0.5</v>
      </c>
      <c r="U17" s="19">
        <v>0.75</v>
      </c>
      <c r="V17" s="2">
        <f>I17+R17</f>
        <v>38465</v>
      </c>
      <c r="W17" s="2">
        <v>38465</v>
      </c>
      <c r="X17" s="21">
        <v>0</v>
      </c>
      <c r="Y17" s="3">
        <f>J17+R17</f>
        <v>46205</v>
      </c>
      <c r="Z17" s="3">
        <v>46205</v>
      </c>
      <c r="AA17" s="22">
        <v>0</v>
      </c>
      <c r="AB17" s="128">
        <v>7740</v>
      </c>
      <c r="AC17" s="190">
        <f>Z17-W17</f>
        <v>7740</v>
      </c>
      <c r="AD17" s="141">
        <f t="shared" si="0"/>
        <v>0</v>
      </c>
      <c r="AE17" s="62">
        <v>42736</v>
      </c>
    </row>
    <row r="18" spans="1:34" ht="19.5" customHeight="1" thickBot="1" x14ac:dyDescent="0.3">
      <c r="A18" s="75" t="s">
        <v>8</v>
      </c>
      <c r="B18" s="33">
        <f>E18/4</f>
        <v>2322</v>
      </c>
      <c r="C18" s="12">
        <v>2322</v>
      </c>
      <c r="D18" s="8">
        <v>0</v>
      </c>
      <c r="E18" s="4">
        <f>SUM(C18)*4</f>
        <v>9288</v>
      </c>
      <c r="F18" s="4">
        <f>C18*5</f>
        <v>11610</v>
      </c>
      <c r="G18" s="4">
        <f>C18*6</f>
        <v>13932</v>
      </c>
      <c r="H18" s="4">
        <f>C18*7</f>
        <v>16254</v>
      </c>
      <c r="I18" s="4">
        <f>C18*8</f>
        <v>18576</v>
      </c>
      <c r="J18" s="4">
        <f>I18+4644</f>
        <v>23220</v>
      </c>
      <c r="K18" s="4"/>
      <c r="L18" s="4"/>
      <c r="M18" s="4">
        <v>7505</v>
      </c>
      <c r="N18" s="10">
        <v>7505</v>
      </c>
      <c r="O18" s="69"/>
      <c r="P18" s="69"/>
      <c r="Q18" s="4">
        <v>7505</v>
      </c>
      <c r="R18" s="10">
        <v>7505</v>
      </c>
      <c r="S18" s="25">
        <v>0</v>
      </c>
      <c r="T18" s="26">
        <v>0.5</v>
      </c>
      <c r="U18" s="26">
        <v>0.75</v>
      </c>
      <c r="V18" s="5">
        <f>I18+N18</f>
        <v>26081</v>
      </c>
      <c r="W18" s="5">
        <v>26081</v>
      </c>
      <c r="X18" s="28">
        <v>0</v>
      </c>
      <c r="Y18" s="6">
        <f>J18+R18</f>
        <v>30725</v>
      </c>
      <c r="Z18" s="6">
        <v>30725</v>
      </c>
      <c r="AA18" s="29">
        <v>0</v>
      </c>
      <c r="AB18" s="129">
        <v>4644</v>
      </c>
      <c r="AC18" s="190">
        <f>Z18-W18</f>
        <v>4644</v>
      </c>
      <c r="AD18" s="141">
        <f t="shared" si="0"/>
        <v>0</v>
      </c>
      <c r="AE18" s="55">
        <v>42736</v>
      </c>
    </row>
    <row r="19" spans="1:34" ht="19.5" customHeight="1" thickBot="1" x14ac:dyDescent="0.3">
      <c r="A19" s="76" t="s">
        <v>9</v>
      </c>
      <c r="B19" s="97"/>
      <c r="C19" s="80"/>
      <c r="D19" s="80"/>
      <c r="E19" s="155" t="s">
        <v>43</v>
      </c>
      <c r="F19" s="82"/>
      <c r="G19" s="82"/>
      <c r="H19" s="82"/>
      <c r="I19" s="82"/>
      <c r="J19" s="82"/>
      <c r="K19" s="82"/>
      <c r="L19" s="82"/>
      <c r="M19" s="82"/>
      <c r="N19" s="82"/>
      <c r="O19" s="84"/>
      <c r="P19" s="84"/>
      <c r="Q19" s="84"/>
      <c r="R19" s="84"/>
      <c r="S19" s="85"/>
      <c r="T19" s="83"/>
      <c r="U19" s="83"/>
      <c r="V19" s="91"/>
      <c r="W19" s="91"/>
      <c r="X19" s="85"/>
      <c r="Y19" s="91"/>
      <c r="Z19" s="91"/>
      <c r="AA19" s="85"/>
      <c r="AB19" s="117"/>
      <c r="AC19" s="117"/>
      <c r="AD19" s="186"/>
      <c r="AE19" s="87"/>
    </row>
    <row r="20" spans="1:34" ht="19.5" customHeight="1" thickBot="1" x14ac:dyDescent="0.3">
      <c r="A20" s="164" t="s">
        <v>16</v>
      </c>
      <c r="B20" s="72">
        <v>3162</v>
      </c>
      <c r="C20" s="72">
        <v>3004</v>
      </c>
      <c r="D20" s="167">
        <f>(C20-B20)/B20</f>
        <v>-4.9968374446552812E-2</v>
      </c>
      <c r="E20" s="72">
        <f>12016</f>
        <v>12016</v>
      </c>
      <c r="F20" s="72">
        <f>C20*5</f>
        <v>15020</v>
      </c>
      <c r="G20" s="72">
        <f>C20*6</f>
        <v>18024</v>
      </c>
      <c r="H20" s="181">
        <f>C20*7</f>
        <v>21028</v>
      </c>
      <c r="I20" s="182">
        <f>C20*8</f>
        <v>24032</v>
      </c>
      <c r="J20" s="183">
        <f>I20+4664</f>
        <v>28696</v>
      </c>
      <c r="K20" s="184">
        <v>2100</v>
      </c>
      <c r="L20" s="72"/>
      <c r="M20" s="72">
        <v>6350</v>
      </c>
      <c r="N20" s="168">
        <f>SUM(K20:M20)</f>
        <v>8450</v>
      </c>
      <c r="O20" s="184">
        <v>2100</v>
      </c>
      <c r="P20" s="184"/>
      <c r="Q20" s="184">
        <v>6350</v>
      </c>
      <c r="R20" s="170">
        <v>8450</v>
      </c>
      <c r="S20" s="171">
        <v>0</v>
      </c>
      <c r="T20" s="172">
        <v>0.5</v>
      </c>
      <c r="U20" s="172">
        <v>0.75</v>
      </c>
      <c r="V20" s="173">
        <v>33746</v>
      </c>
      <c r="W20" s="173">
        <f>I20+R20</f>
        <v>32482</v>
      </c>
      <c r="X20" s="174">
        <f>(W20-V20)/V20</f>
        <v>-3.7456291115984114E-2</v>
      </c>
      <c r="Y20" s="175">
        <v>38489</v>
      </c>
      <c r="Z20" s="175">
        <f>J20+R20</f>
        <v>37146</v>
      </c>
      <c r="AA20" s="185">
        <f>(Z20-Y20)/Y20</f>
        <v>-3.4893086336355843E-2</v>
      </c>
      <c r="AB20" s="194">
        <v>4743</v>
      </c>
      <c r="AC20" s="195">
        <f>Z20-W20</f>
        <v>4664</v>
      </c>
      <c r="AD20" s="116">
        <f t="shared" si="0"/>
        <v>-1.6656124815517606E-2</v>
      </c>
      <c r="AE20" s="153">
        <v>43101</v>
      </c>
      <c r="AH20" s="150"/>
    </row>
    <row r="21" spans="1:34" ht="26.25" customHeight="1" thickBot="1" x14ac:dyDescent="0.3">
      <c r="A21" s="78" t="s">
        <v>55</v>
      </c>
      <c r="B21" s="1">
        <v>1897</v>
      </c>
      <c r="C21" s="1">
        <f>I21/8</f>
        <v>1802.3999999999999</v>
      </c>
      <c r="D21" s="7">
        <f>(C21-B21)/B21</f>
        <v>-4.9868212967844036E-2</v>
      </c>
      <c r="E21" s="1">
        <f>E20*0.6</f>
        <v>7209.5999999999995</v>
      </c>
      <c r="F21" s="4">
        <f>F20*0.6</f>
        <v>9012</v>
      </c>
      <c r="G21" s="4">
        <f>G20*0.6</f>
        <v>10814.4</v>
      </c>
      <c r="H21" s="64">
        <f>H20*0.6</f>
        <v>12616.8</v>
      </c>
      <c r="I21" s="4">
        <f>I20*0.6</f>
        <v>14419.199999999999</v>
      </c>
      <c r="J21" s="65">
        <f>J20*0.6</f>
        <v>17217.599999999999</v>
      </c>
      <c r="K21" s="56">
        <v>2100</v>
      </c>
      <c r="L21" s="4"/>
      <c r="M21" s="4">
        <v>6350</v>
      </c>
      <c r="N21" s="10">
        <f>SUM(K21:M21)</f>
        <v>8450</v>
      </c>
      <c r="O21" s="56">
        <v>2100</v>
      </c>
      <c r="P21" s="56"/>
      <c r="Q21" s="56">
        <v>6350</v>
      </c>
      <c r="R21" s="71">
        <v>8450</v>
      </c>
      <c r="S21" s="25">
        <v>0</v>
      </c>
      <c r="T21" s="19">
        <v>0.5</v>
      </c>
      <c r="U21" s="19">
        <v>0.75</v>
      </c>
      <c r="V21" s="5">
        <v>23628</v>
      </c>
      <c r="W21" s="5">
        <f>I21+R21</f>
        <v>22869.199999999997</v>
      </c>
      <c r="X21" s="21">
        <f>(W21-V21)/V21</f>
        <v>-3.2114440494328884E-2</v>
      </c>
      <c r="Y21" s="6">
        <v>26473</v>
      </c>
      <c r="Z21" s="6">
        <f>J21+R21</f>
        <v>25667.599999999999</v>
      </c>
      <c r="AA21" s="29">
        <f>(Z21-Y21)/Y21</f>
        <v>-3.0423450307860894E-2</v>
      </c>
      <c r="AB21" s="129">
        <v>2845</v>
      </c>
      <c r="AC21" s="195">
        <f>AC20*0.6</f>
        <v>2798.4</v>
      </c>
      <c r="AD21" s="115">
        <f t="shared" si="0"/>
        <v>-1.6379613356766225E-2</v>
      </c>
      <c r="AE21" s="55">
        <v>43101</v>
      </c>
    </row>
    <row r="22" spans="1:34" ht="19.5" customHeight="1" thickBot="1" x14ac:dyDescent="0.3">
      <c r="A22" s="76" t="s">
        <v>9</v>
      </c>
      <c r="B22" s="152"/>
      <c r="C22" s="80"/>
      <c r="D22" s="90" t="s">
        <v>82</v>
      </c>
      <c r="E22" s="154"/>
      <c r="F22" s="154"/>
      <c r="H22" s="82"/>
      <c r="I22" s="94"/>
      <c r="K22" s="154"/>
      <c r="L22" s="82"/>
      <c r="M22" s="157" t="s">
        <v>90</v>
      </c>
      <c r="N22" s="82"/>
      <c r="P22" s="155"/>
      <c r="Q22" s="84"/>
      <c r="R22" s="84"/>
      <c r="S22" s="85"/>
      <c r="T22" s="95" t="s">
        <v>12</v>
      </c>
      <c r="U22" s="95"/>
      <c r="V22" s="91"/>
      <c r="W22" s="91"/>
      <c r="X22" s="85"/>
      <c r="Y22" s="91"/>
      <c r="Z22" s="91"/>
      <c r="AA22" s="85"/>
      <c r="AB22" s="117"/>
      <c r="AC22" s="117"/>
      <c r="AD22" s="128"/>
      <c r="AE22" s="96"/>
      <c r="AG22" s="88"/>
    </row>
    <row r="23" spans="1:34" ht="19.5" customHeight="1" thickBot="1" x14ac:dyDescent="0.3">
      <c r="A23" s="74" t="s">
        <v>17</v>
      </c>
      <c r="B23" s="35">
        <v>3267</v>
      </c>
      <c r="C23" s="11">
        <v>3362</v>
      </c>
      <c r="D23" s="52">
        <f>(C23-B23)/B23</f>
        <v>2.9078665442301806E-2</v>
      </c>
      <c r="E23" s="1">
        <v>13448</v>
      </c>
      <c r="F23" s="1">
        <v>16810</v>
      </c>
      <c r="G23" s="1">
        <v>20172</v>
      </c>
      <c r="H23" s="1">
        <v>23534</v>
      </c>
      <c r="I23" s="1">
        <v>26896</v>
      </c>
      <c r="J23" s="1">
        <f>I23+1530+1530+1530+1530</f>
        <v>33016</v>
      </c>
      <c r="K23" s="1">
        <v>1890</v>
      </c>
      <c r="L23" s="1">
        <v>1890</v>
      </c>
      <c r="M23" s="1">
        <v>5354</v>
      </c>
      <c r="N23" s="9">
        <f>SUM(K23:M23)</f>
        <v>9134</v>
      </c>
      <c r="O23" s="68">
        <v>1945</v>
      </c>
      <c r="P23" s="68">
        <v>1945</v>
      </c>
      <c r="Q23" s="68">
        <v>5509</v>
      </c>
      <c r="R23" s="70">
        <f>O23+P23+Q23</f>
        <v>9399</v>
      </c>
      <c r="S23" s="18">
        <f>(R23-N23)/N23</f>
        <v>2.901248084081454E-2</v>
      </c>
      <c r="T23" s="19">
        <v>0.25</v>
      </c>
      <c r="U23" s="19">
        <v>1</v>
      </c>
      <c r="V23" s="20">
        <v>35270</v>
      </c>
      <c r="W23" s="20">
        <f>R23+I23</f>
        <v>36295</v>
      </c>
      <c r="X23" s="21">
        <f>(W23-V23)/V23</f>
        <v>2.9061525375673376E-2</v>
      </c>
      <c r="Y23" s="3">
        <v>41218</v>
      </c>
      <c r="Z23" s="3">
        <f>J23+R23</f>
        <v>42415</v>
      </c>
      <c r="AA23" s="22">
        <f>(Z23-Y23)/Y23</f>
        <v>2.9040710369256151E-2</v>
      </c>
      <c r="AB23" s="128">
        <f>1487*4</f>
        <v>5948</v>
      </c>
      <c r="AC23" s="190">
        <f>1530*4</f>
        <v>6120</v>
      </c>
      <c r="AD23" s="142">
        <f t="shared" si="0"/>
        <v>2.8917283120376596E-2</v>
      </c>
      <c r="AE23" s="23">
        <v>43101</v>
      </c>
      <c r="AH23" s="150"/>
    </row>
    <row r="24" spans="1:34" ht="19.5" customHeight="1" thickBot="1" x14ac:dyDescent="0.3">
      <c r="A24" s="75" t="s">
        <v>8</v>
      </c>
      <c r="B24" s="33">
        <v>2287</v>
      </c>
      <c r="C24" s="15">
        <v>2353</v>
      </c>
      <c r="D24" s="48">
        <f>(C24-B24)/B24</f>
        <v>2.8858766943594228E-2</v>
      </c>
      <c r="E24" s="4">
        <v>9412</v>
      </c>
      <c r="F24" s="4">
        <v>11765</v>
      </c>
      <c r="G24" s="4">
        <v>14118</v>
      </c>
      <c r="H24" s="4">
        <v>16471</v>
      </c>
      <c r="I24" s="4">
        <v>18824</v>
      </c>
      <c r="J24" s="4">
        <f>I24+1070+1070+1070+1070</f>
        <v>23104</v>
      </c>
      <c r="K24" s="4">
        <v>1890</v>
      </c>
      <c r="L24" s="4">
        <v>1890</v>
      </c>
      <c r="M24" s="4">
        <v>5354</v>
      </c>
      <c r="N24" s="10">
        <f>SUM(K24:M24)</f>
        <v>9134</v>
      </c>
      <c r="O24" s="69">
        <v>1945</v>
      </c>
      <c r="P24" s="69">
        <v>1945</v>
      </c>
      <c r="Q24" s="69">
        <v>5509</v>
      </c>
      <c r="R24" s="71">
        <f>O24+P24+Q24</f>
        <v>9399</v>
      </c>
      <c r="S24" s="25">
        <f>(R24-N24)/N24</f>
        <v>2.901248084081454E-2</v>
      </c>
      <c r="T24" s="26">
        <v>0.25</v>
      </c>
      <c r="U24" s="26">
        <v>1</v>
      </c>
      <c r="V24" s="27">
        <f>(B24*8)+N24</f>
        <v>27430</v>
      </c>
      <c r="W24" s="27">
        <f>R23+I24</f>
        <v>28223</v>
      </c>
      <c r="X24" s="28">
        <f>(W24-V24)/V24</f>
        <v>2.8909952606635071E-2</v>
      </c>
      <c r="Y24" s="6">
        <v>31590</v>
      </c>
      <c r="Z24" s="6">
        <f>J24+R24</f>
        <v>32503</v>
      </c>
      <c r="AA24" s="29">
        <f>(Z24-Y24)/Y24</f>
        <v>2.8901551123773347E-2</v>
      </c>
      <c r="AB24" s="129">
        <f>1040*4</f>
        <v>4160</v>
      </c>
      <c r="AC24" s="190">
        <f>1070*4</f>
        <v>4280</v>
      </c>
      <c r="AD24" s="142">
        <f t="shared" si="0"/>
        <v>2.8846153846153848E-2</v>
      </c>
      <c r="AE24" s="55">
        <v>43101</v>
      </c>
      <c r="AH24" s="150"/>
    </row>
    <row r="25" spans="1:34" ht="19.5" customHeight="1" thickBot="1" x14ac:dyDescent="0.3">
      <c r="A25" s="76" t="s">
        <v>9</v>
      </c>
      <c r="B25" s="92"/>
      <c r="C25" s="80"/>
      <c r="D25" s="90"/>
      <c r="E25" s="155" t="s">
        <v>39</v>
      </c>
      <c r="F25" s="82"/>
      <c r="G25" s="82"/>
      <c r="H25" s="82"/>
      <c r="I25" s="82"/>
      <c r="J25" s="82"/>
      <c r="K25" s="82"/>
      <c r="L25" s="82"/>
      <c r="M25" s="82"/>
      <c r="N25" s="82"/>
      <c r="O25" s="84"/>
      <c r="P25" s="84"/>
      <c r="Q25" s="84"/>
      <c r="R25" s="84"/>
      <c r="S25" s="85"/>
      <c r="T25" s="83"/>
      <c r="U25" s="83"/>
      <c r="V25" s="91"/>
      <c r="W25" s="91"/>
      <c r="X25" s="85"/>
      <c r="Y25" s="91"/>
      <c r="Z25" s="91"/>
      <c r="AA25" s="85"/>
      <c r="AB25" s="117"/>
      <c r="AC25" s="117"/>
      <c r="AD25" s="128"/>
      <c r="AE25" s="87"/>
      <c r="AH25" s="150"/>
    </row>
    <row r="26" spans="1:34" ht="19.5" customHeight="1" thickBot="1" x14ac:dyDescent="0.3">
      <c r="A26" s="74" t="s">
        <v>18</v>
      </c>
      <c r="B26" s="121">
        <v>3449</v>
      </c>
      <c r="C26" s="122">
        <f>E26/4</f>
        <v>3525</v>
      </c>
      <c r="D26" s="144">
        <f>(C26-B26)/B26</f>
        <v>2.2035372571759932E-2</v>
      </c>
      <c r="E26" s="123">
        <v>14100</v>
      </c>
      <c r="F26" s="123">
        <v>17530</v>
      </c>
      <c r="G26" s="123">
        <v>21150</v>
      </c>
      <c r="H26" s="123">
        <v>24680</v>
      </c>
      <c r="I26" s="123">
        <v>28200</v>
      </c>
      <c r="J26" s="123">
        <v>31730</v>
      </c>
      <c r="K26" s="1">
        <v>1820</v>
      </c>
      <c r="L26" s="1">
        <v>2730</v>
      </c>
      <c r="M26" s="1">
        <v>4220</v>
      </c>
      <c r="N26" s="9">
        <f>SUM(K26:M26)</f>
        <v>8770</v>
      </c>
      <c r="O26" s="68">
        <v>1860</v>
      </c>
      <c r="P26" s="68">
        <f>1860+930</f>
        <v>2790</v>
      </c>
      <c r="Q26" s="68">
        <v>4320</v>
      </c>
      <c r="R26" s="70">
        <f>O26+P26+Q26</f>
        <v>8970</v>
      </c>
      <c r="S26" s="18">
        <f>(R26-N26)/N26</f>
        <v>2.2805017103762829E-2</v>
      </c>
      <c r="T26" s="19">
        <v>0.5</v>
      </c>
      <c r="U26" s="19">
        <v>0.75</v>
      </c>
      <c r="V26" s="2">
        <f>27590+8770</f>
        <v>36360</v>
      </c>
      <c r="W26" s="2">
        <f>I26+R26</f>
        <v>37170</v>
      </c>
      <c r="X26" s="21">
        <f>(W26-V26)/V26</f>
        <v>2.2277227722772276E-2</v>
      </c>
      <c r="Y26" s="3">
        <v>39811</v>
      </c>
      <c r="Z26" s="3">
        <f>J26+R26</f>
        <v>40700</v>
      </c>
      <c r="AA26" s="22">
        <f>(Z26-Y26)/Y26</f>
        <v>2.233051166762955E-2</v>
      </c>
      <c r="AB26" s="128">
        <v>3450</v>
      </c>
      <c r="AC26" s="190">
        <f>Z26-W26</f>
        <v>3530</v>
      </c>
      <c r="AD26" s="142">
        <f t="shared" si="0"/>
        <v>2.318840579710145E-2</v>
      </c>
      <c r="AE26" s="23">
        <v>43101</v>
      </c>
    </row>
    <row r="27" spans="1:34" ht="19.5" customHeight="1" thickBot="1" x14ac:dyDescent="0.3">
      <c r="A27" s="75" t="s">
        <v>58</v>
      </c>
      <c r="B27" s="124">
        <v>2242</v>
      </c>
      <c r="C27" s="125">
        <f>C26*0.65</f>
        <v>2291.25</v>
      </c>
      <c r="D27" s="145">
        <f>(C27-B27)/B27</f>
        <v>2.1966993755575381E-2</v>
      </c>
      <c r="E27" s="126">
        <v>9165</v>
      </c>
      <c r="F27" s="126">
        <v>11395</v>
      </c>
      <c r="G27" s="126">
        <v>13748</v>
      </c>
      <c r="H27" s="126">
        <v>16042</v>
      </c>
      <c r="I27" s="126">
        <v>18330</v>
      </c>
      <c r="J27" s="126">
        <v>20625</v>
      </c>
      <c r="K27" s="4">
        <v>1820</v>
      </c>
      <c r="L27" s="4">
        <v>2730</v>
      </c>
      <c r="M27" s="4">
        <v>4220</v>
      </c>
      <c r="N27" s="10">
        <f>SUM(K27:M27)</f>
        <v>8770</v>
      </c>
      <c r="O27" s="69">
        <v>1860</v>
      </c>
      <c r="P27" s="69">
        <f>1860+930</f>
        <v>2790</v>
      </c>
      <c r="Q27" s="69">
        <v>4320</v>
      </c>
      <c r="R27" s="71">
        <f>O27+P27+Q27</f>
        <v>8970</v>
      </c>
      <c r="S27" s="25">
        <f>(R27-N27)/N27</f>
        <v>2.2805017103762829E-2</v>
      </c>
      <c r="T27" s="26">
        <v>0.5</v>
      </c>
      <c r="U27" s="26">
        <v>0.75</v>
      </c>
      <c r="V27" s="5">
        <f>17934+8770</f>
        <v>26704</v>
      </c>
      <c r="W27" s="5">
        <f>I27+R27</f>
        <v>27300</v>
      </c>
      <c r="X27" s="28">
        <f>(W27-V27)/V27</f>
        <v>2.2318753744757339E-2</v>
      </c>
      <c r="Y27" s="6">
        <v>28948</v>
      </c>
      <c r="Z27" s="6">
        <f>J27+R27</f>
        <v>29595</v>
      </c>
      <c r="AA27" s="29">
        <f>(Z27-Y27)/Y27</f>
        <v>2.2350421445350283E-2</v>
      </c>
      <c r="AB27" s="129">
        <v>2242</v>
      </c>
      <c r="AC27" s="190">
        <f>Z27-W27</f>
        <v>2295</v>
      </c>
      <c r="AD27" s="142">
        <f t="shared" si="0"/>
        <v>2.3639607493309546E-2</v>
      </c>
      <c r="AE27" s="55">
        <v>43101</v>
      </c>
    </row>
    <row r="28" spans="1:34" ht="19.5" customHeight="1" thickBot="1" x14ac:dyDescent="0.3">
      <c r="A28" s="76" t="s">
        <v>9</v>
      </c>
      <c r="B28" s="89"/>
      <c r="C28" s="80"/>
      <c r="D28" s="155"/>
      <c r="E28" s="155" t="s">
        <v>83</v>
      </c>
      <c r="F28" s="82"/>
      <c r="G28" s="82"/>
      <c r="H28" s="82"/>
      <c r="I28" s="82"/>
      <c r="J28" s="82"/>
      <c r="K28" s="82"/>
      <c r="L28" s="82"/>
      <c r="M28" s="82"/>
      <c r="N28" s="82"/>
      <c r="O28" s="84"/>
      <c r="P28" s="84"/>
      <c r="Q28" s="84"/>
      <c r="R28" s="84"/>
      <c r="S28" s="85"/>
      <c r="T28" s="95"/>
      <c r="U28" s="95"/>
      <c r="V28" s="91"/>
      <c r="W28" s="91"/>
      <c r="X28" s="85"/>
      <c r="Y28" s="91"/>
      <c r="Z28" s="91"/>
      <c r="AA28" s="85"/>
      <c r="AB28" s="117"/>
      <c r="AC28" s="117"/>
      <c r="AD28" s="128"/>
      <c r="AE28" s="32"/>
    </row>
    <row r="29" spans="1:34" ht="19.5" customHeight="1" thickBot="1" x14ac:dyDescent="0.3">
      <c r="A29" s="74" t="s">
        <v>19</v>
      </c>
      <c r="B29" s="121">
        <v>2245</v>
      </c>
      <c r="C29" s="122">
        <f>E29/4</f>
        <v>2245</v>
      </c>
      <c r="D29" s="146">
        <v>0</v>
      </c>
      <c r="E29" s="123">
        <v>8980</v>
      </c>
      <c r="F29" s="123">
        <v>11225</v>
      </c>
      <c r="G29" s="123">
        <v>13470</v>
      </c>
      <c r="H29" s="123">
        <v>15715</v>
      </c>
      <c r="I29" s="123">
        <v>17960</v>
      </c>
      <c r="J29" s="123">
        <v>21329</v>
      </c>
      <c r="K29" s="123">
        <v>1700</v>
      </c>
      <c r="L29" s="123">
        <v>1700</v>
      </c>
      <c r="M29" s="1">
        <v>4400</v>
      </c>
      <c r="N29" s="9">
        <f>SUM(K29:M29)</f>
        <v>7800</v>
      </c>
      <c r="O29" s="68">
        <v>1725</v>
      </c>
      <c r="P29" s="68">
        <v>1725</v>
      </c>
      <c r="Q29" s="68">
        <v>4470</v>
      </c>
      <c r="R29" s="70">
        <f>O29+P29+Q29</f>
        <v>7920</v>
      </c>
      <c r="S29" s="18">
        <f>(R29-N29)/N29</f>
        <v>1.5384615384615385E-2</v>
      </c>
      <c r="T29" s="19">
        <v>0.5</v>
      </c>
      <c r="U29" s="19">
        <v>1</v>
      </c>
      <c r="V29" s="20">
        <f>I29+N29</f>
        <v>25760</v>
      </c>
      <c r="W29" s="20">
        <f>I29+R29</f>
        <v>25880</v>
      </c>
      <c r="X29" s="21">
        <f>(W29-V29)/V29</f>
        <v>4.658385093167702E-3</v>
      </c>
      <c r="Y29" s="3">
        <f>J29+N29</f>
        <v>29129</v>
      </c>
      <c r="Z29" s="3">
        <f>J29+R29</f>
        <v>29249</v>
      </c>
      <c r="AA29" s="22">
        <f>(Z29-Y29)/Y29</f>
        <v>4.1196058910364245E-3</v>
      </c>
      <c r="AB29" s="128">
        <v>3369</v>
      </c>
      <c r="AC29" s="190">
        <f>Z29-W29</f>
        <v>3369</v>
      </c>
      <c r="AD29" s="141">
        <f t="shared" si="0"/>
        <v>0</v>
      </c>
      <c r="AE29" s="23">
        <v>42370</v>
      </c>
    </row>
    <row r="30" spans="1:34" ht="19.5" customHeight="1" thickBot="1" x14ac:dyDescent="0.3">
      <c r="A30" s="75" t="s">
        <v>8</v>
      </c>
      <c r="B30" s="124">
        <f>2245*0.6</f>
        <v>1347</v>
      </c>
      <c r="C30" s="127">
        <v>1347</v>
      </c>
      <c r="D30" s="147">
        <v>0</v>
      </c>
      <c r="E30" s="126">
        <f>SUM(C30)*4</f>
        <v>5388</v>
      </c>
      <c r="F30" s="126">
        <f>SUM(C30)*5</f>
        <v>6735</v>
      </c>
      <c r="G30" s="126">
        <f>SUM(C30)*6</f>
        <v>8082</v>
      </c>
      <c r="H30" s="126">
        <f>SUM(C30)*7</f>
        <v>9429</v>
      </c>
      <c r="I30" s="126">
        <f>SUM(C30)*8</f>
        <v>10776</v>
      </c>
      <c r="J30" s="126">
        <v>12797</v>
      </c>
      <c r="K30" s="126">
        <v>1700</v>
      </c>
      <c r="L30" s="126">
        <v>1700</v>
      </c>
      <c r="M30" s="4">
        <v>4400</v>
      </c>
      <c r="N30" s="10">
        <f>SUM(K30:M30)</f>
        <v>7800</v>
      </c>
      <c r="O30" s="69">
        <v>1725</v>
      </c>
      <c r="P30" s="69">
        <v>1725</v>
      </c>
      <c r="Q30" s="69">
        <v>4470</v>
      </c>
      <c r="R30" s="71">
        <f t="shared" ref="R30" si="5">O30+P30+Q30</f>
        <v>7920</v>
      </c>
      <c r="S30" s="25">
        <f>(R30-N30)/N30</f>
        <v>1.5384615384615385E-2</v>
      </c>
      <c r="T30" s="26">
        <v>0.5</v>
      </c>
      <c r="U30" s="26">
        <v>1</v>
      </c>
      <c r="V30" s="27">
        <f>I30+N30</f>
        <v>18576</v>
      </c>
      <c r="W30" s="27">
        <f>I30+R30</f>
        <v>18696</v>
      </c>
      <c r="X30" s="28">
        <f t="shared" ref="X30" si="6">(W30-V30)/V30</f>
        <v>6.4599483204134363E-3</v>
      </c>
      <c r="Y30" s="6">
        <f t="shared" ref="Y30" si="7">J30+N30</f>
        <v>20597</v>
      </c>
      <c r="Z30" s="6">
        <f t="shared" ref="Z30" si="8">J30+R30</f>
        <v>20717</v>
      </c>
      <c r="AA30" s="29">
        <f t="shared" ref="AA30" si="9">(Z30-Y30)/Y30</f>
        <v>5.8260911783269411E-3</v>
      </c>
      <c r="AB30" s="196">
        <f>AB29*0.6</f>
        <v>2021.3999999999999</v>
      </c>
      <c r="AC30" s="190">
        <f>AC29*0.6</f>
        <v>2021.3999999999999</v>
      </c>
      <c r="AD30" s="141">
        <f t="shared" si="0"/>
        <v>0</v>
      </c>
      <c r="AE30" s="49">
        <v>42370</v>
      </c>
    </row>
    <row r="31" spans="1:34" ht="19.5" customHeight="1" thickBot="1" x14ac:dyDescent="0.3">
      <c r="A31" s="75" t="s">
        <v>9</v>
      </c>
      <c r="B31" s="89"/>
      <c r="C31" s="80"/>
      <c r="D31" s="90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4"/>
      <c r="P31" s="84"/>
      <c r="Q31" s="84"/>
      <c r="R31" s="84"/>
      <c r="S31" s="85"/>
      <c r="T31" s="83"/>
      <c r="U31" s="83"/>
      <c r="V31" s="91"/>
      <c r="W31" s="91"/>
      <c r="X31" s="85"/>
      <c r="Y31" s="91"/>
      <c r="Z31" s="91"/>
      <c r="AA31" s="85"/>
      <c r="AB31" s="117"/>
      <c r="AC31" s="117"/>
      <c r="AD31" s="128"/>
      <c r="AE31" s="87"/>
    </row>
    <row r="32" spans="1:34" ht="19.5" customHeight="1" thickBot="1" x14ac:dyDescent="0.3">
      <c r="A32" s="74" t="s">
        <v>20</v>
      </c>
      <c r="B32" s="121">
        <v>3681</v>
      </c>
      <c r="C32" s="122">
        <v>3150</v>
      </c>
      <c r="D32" s="146">
        <f>(C32-B32)/B32</f>
        <v>-0.14425427872860636</v>
      </c>
      <c r="E32" s="123">
        <f>C32*4</f>
        <v>12600</v>
      </c>
      <c r="F32" s="123">
        <f>C32*5</f>
        <v>15750</v>
      </c>
      <c r="G32" s="123">
        <f>C32*6</f>
        <v>18900</v>
      </c>
      <c r="H32" s="123">
        <f>C32*7</f>
        <v>22050</v>
      </c>
      <c r="I32" s="123">
        <f>C32*8</f>
        <v>25200</v>
      </c>
      <c r="J32" s="123">
        <f>I32+8300</f>
        <v>33500</v>
      </c>
      <c r="K32" s="123">
        <v>1929</v>
      </c>
      <c r="L32" s="123">
        <v>1929</v>
      </c>
      <c r="M32" s="123">
        <v>6272</v>
      </c>
      <c r="N32" s="123">
        <f>SUM(K32:M32)</f>
        <v>10130</v>
      </c>
      <c r="O32" s="138">
        <v>1971</v>
      </c>
      <c r="P32" s="138">
        <v>1971</v>
      </c>
      <c r="Q32" s="68">
        <v>6408</v>
      </c>
      <c r="R32" s="70">
        <f>O32+P32+Q32</f>
        <v>10350</v>
      </c>
      <c r="S32" s="18">
        <f>(R32-N32)/N32</f>
        <v>2.1717670286278381E-2</v>
      </c>
      <c r="T32" s="130">
        <v>0.5</v>
      </c>
      <c r="U32" s="136">
        <v>1</v>
      </c>
      <c r="V32" s="2">
        <f>(3681*8)+N32</f>
        <v>39578</v>
      </c>
      <c r="W32" s="2">
        <f>I32+R32</f>
        <v>35550</v>
      </c>
      <c r="X32" s="21">
        <f>(W32-V32)/V32</f>
        <v>-0.1017737126686543</v>
      </c>
      <c r="Y32" s="3">
        <f>V32+7838</f>
        <v>47416</v>
      </c>
      <c r="Z32" s="3">
        <f>J32+R32</f>
        <v>43850</v>
      </c>
      <c r="AA32" s="22">
        <f>(Z32-Y32)/Y32</f>
        <v>-7.5206681289016364E-2</v>
      </c>
      <c r="AB32" s="128">
        <v>7838</v>
      </c>
      <c r="AC32" s="197">
        <f>Z32-W32</f>
        <v>8300</v>
      </c>
      <c r="AD32" s="115">
        <f t="shared" si="0"/>
        <v>5.8943608063281451E-2</v>
      </c>
      <c r="AE32" s="23">
        <v>43040</v>
      </c>
      <c r="AG32" s="150"/>
    </row>
    <row r="33" spans="1:34" ht="19.5" customHeight="1" thickBot="1" x14ac:dyDescent="0.3">
      <c r="A33" s="75" t="s">
        <v>57</v>
      </c>
      <c r="B33" s="124">
        <v>2577</v>
      </c>
      <c r="C33" s="139">
        <v>2205</v>
      </c>
      <c r="D33" s="147">
        <f>(C33-B33)/B33</f>
        <v>-0.14435389988358557</v>
      </c>
      <c r="E33" s="126">
        <f>C33*4</f>
        <v>8820</v>
      </c>
      <c r="F33" s="126">
        <f>C33*5</f>
        <v>11025</v>
      </c>
      <c r="G33" s="126">
        <f>C33*6</f>
        <v>13230</v>
      </c>
      <c r="H33" s="126">
        <f>C33*7</f>
        <v>15435</v>
      </c>
      <c r="I33" s="126">
        <f>C33*8</f>
        <v>17640</v>
      </c>
      <c r="J33" s="126">
        <f>I33+(8300*0.7)</f>
        <v>23450</v>
      </c>
      <c r="K33" s="126">
        <v>1929</v>
      </c>
      <c r="L33" s="126">
        <v>1929</v>
      </c>
      <c r="M33" s="126">
        <v>6272</v>
      </c>
      <c r="N33" s="126">
        <f>SUM(K33:M33)</f>
        <v>10130</v>
      </c>
      <c r="O33" s="140">
        <v>1971</v>
      </c>
      <c r="P33" s="140">
        <v>1971</v>
      </c>
      <c r="Q33" s="69">
        <v>6408</v>
      </c>
      <c r="R33" s="71">
        <f>O33+P33+Q33</f>
        <v>10350</v>
      </c>
      <c r="S33" s="25">
        <f>(R33-N33)/N33</f>
        <v>2.1717670286278381E-2</v>
      </c>
      <c r="T33" s="131">
        <v>0.5</v>
      </c>
      <c r="U33" s="137">
        <v>1</v>
      </c>
      <c r="V33" s="50">
        <f>(2577*8)+N33</f>
        <v>30746</v>
      </c>
      <c r="W33" s="50">
        <f>I33+R33</f>
        <v>27990</v>
      </c>
      <c r="X33" s="30">
        <f>(W33-V33)/V33</f>
        <v>-8.9637676445716519E-2</v>
      </c>
      <c r="Y33" s="51">
        <f>(2577*8)+N33+(7838*0.7)</f>
        <v>36232.6</v>
      </c>
      <c r="Z33" s="51">
        <f>J33+R33</f>
        <v>33800</v>
      </c>
      <c r="AA33" s="31">
        <f>(Z33-Y33)/Y33</f>
        <v>-6.7138433344557075E-2</v>
      </c>
      <c r="AB33" s="198">
        <f>AB32*0.7</f>
        <v>5486.5999999999995</v>
      </c>
      <c r="AC33" s="199">
        <f>8300*0.7</f>
        <v>5810</v>
      </c>
      <c r="AD33" s="115">
        <f t="shared" si="0"/>
        <v>5.8943608063281555E-2</v>
      </c>
      <c r="AE33" s="55">
        <v>43040</v>
      </c>
    </row>
    <row r="34" spans="1:34" ht="19.5" customHeight="1" thickBot="1" x14ac:dyDescent="0.3">
      <c r="A34" s="76" t="s">
        <v>9</v>
      </c>
      <c r="B34" s="92"/>
      <c r="D34" s="90"/>
      <c r="E34" s="158" t="s">
        <v>84</v>
      </c>
      <c r="F34" s="82"/>
      <c r="H34" s="82"/>
      <c r="I34" s="82"/>
      <c r="J34" s="82"/>
      <c r="K34" s="82"/>
      <c r="L34" s="155" t="s">
        <v>56</v>
      </c>
      <c r="M34" s="82"/>
      <c r="N34" s="82"/>
      <c r="O34" s="84"/>
      <c r="P34" s="84"/>
      <c r="Q34" s="84"/>
      <c r="R34" s="84"/>
      <c r="S34" s="85"/>
      <c r="T34" s="83"/>
      <c r="U34" s="132"/>
      <c r="V34" s="133"/>
      <c r="W34" s="133"/>
      <c r="X34" s="134"/>
      <c r="Y34" s="133"/>
      <c r="Z34" s="133"/>
      <c r="AA34" s="134"/>
      <c r="AB34" s="135"/>
      <c r="AC34" s="135"/>
      <c r="AD34" s="128"/>
      <c r="AE34" s="87"/>
      <c r="AH34" s="150"/>
    </row>
    <row r="35" spans="1:34" ht="29.25" customHeight="1" thickBot="1" x14ac:dyDescent="0.3">
      <c r="A35" s="108" t="s">
        <v>21</v>
      </c>
      <c r="B35" s="35">
        <v>2977</v>
      </c>
      <c r="C35" s="16">
        <f>E35/4</f>
        <v>2977.25</v>
      </c>
      <c r="D35" s="7">
        <f>(C35-B35)/B35</f>
        <v>8.397715821296607E-5</v>
      </c>
      <c r="E35" s="1">
        <v>11909</v>
      </c>
      <c r="F35" s="1">
        <v>14886</v>
      </c>
      <c r="G35" s="1">
        <v>17863</v>
      </c>
      <c r="H35" s="1">
        <v>20840</v>
      </c>
      <c r="I35" s="1">
        <v>23818</v>
      </c>
      <c r="J35" s="1">
        <v>26795</v>
      </c>
      <c r="K35" s="1">
        <v>2969</v>
      </c>
      <c r="L35" s="1">
        <v>2969</v>
      </c>
      <c r="M35" s="1">
        <v>6460</v>
      </c>
      <c r="N35" s="9">
        <f>SUM(K35:M35)</f>
        <v>12398</v>
      </c>
      <c r="O35" s="68">
        <v>3073</v>
      </c>
      <c r="P35" s="68">
        <v>3073</v>
      </c>
      <c r="Q35" s="68">
        <v>6686</v>
      </c>
      <c r="R35" s="70">
        <f>O35+P35+Q35</f>
        <v>12832</v>
      </c>
      <c r="S35" s="18">
        <f>(R35-N35)/N35</f>
        <v>3.5005646071947089E-2</v>
      </c>
      <c r="T35" s="19">
        <v>0.5</v>
      </c>
      <c r="U35" s="19">
        <v>1</v>
      </c>
      <c r="V35" s="2">
        <f>(I35+N35)</f>
        <v>36216</v>
      </c>
      <c r="W35" s="2">
        <f>I35+R35</f>
        <v>36650</v>
      </c>
      <c r="X35" s="21">
        <f>(W35-V35)/V35</f>
        <v>1.1983653633753037E-2</v>
      </c>
      <c r="Y35" s="3">
        <f>J35+N35</f>
        <v>39193</v>
      </c>
      <c r="Z35" s="3">
        <f>J35+R35</f>
        <v>39627</v>
      </c>
      <c r="AA35" s="22">
        <f>(Z35-Y35)/Y35</f>
        <v>1.1073405965350955E-2</v>
      </c>
      <c r="AB35" s="128">
        <v>2977</v>
      </c>
      <c r="AC35" s="190">
        <f>Z35-W35</f>
        <v>2977</v>
      </c>
      <c r="AD35" s="141">
        <f t="shared" si="0"/>
        <v>0</v>
      </c>
      <c r="AE35" s="23">
        <v>43101</v>
      </c>
    </row>
    <row r="36" spans="1:34" ht="19.5" customHeight="1" thickBot="1" x14ac:dyDescent="0.3">
      <c r="A36" s="75" t="s">
        <v>8</v>
      </c>
      <c r="B36" s="33">
        <v>2085</v>
      </c>
      <c r="C36" s="12">
        <f>E36/4</f>
        <v>2085</v>
      </c>
      <c r="D36" s="8">
        <f>(C36-B36)/B36</f>
        <v>0</v>
      </c>
      <c r="E36" s="73">
        <v>8340</v>
      </c>
      <c r="F36" s="4">
        <v>10425</v>
      </c>
      <c r="G36" s="4">
        <v>12510</v>
      </c>
      <c r="H36" s="4">
        <v>14595</v>
      </c>
      <c r="I36" s="4">
        <v>16680</v>
      </c>
      <c r="J36" s="4">
        <v>18764</v>
      </c>
      <c r="K36" s="4">
        <v>2969</v>
      </c>
      <c r="L36" s="4">
        <v>2969</v>
      </c>
      <c r="M36" s="4">
        <v>6460</v>
      </c>
      <c r="N36" s="10">
        <f>SUM(K36:M36)</f>
        <v>12398</v>
      </c>
      <c r="O36" s="69">
        <v>3073</v>
      </c>
      <c r="P36" s="69">
        <v>3073</v>
      </c>
      <c r="Q36" s="69">
        <v>6686</v>
      </c>
      <c r="R36" s="71">
        <f>O36+P36+Q36</f>
        <v>12832</v>
      </c>
      <c r="S36" s="25">
        <f>(R36-N36)/N36</f>
        <v>3.5005646071947089E-2</v>
      </c>
      <c r="T36" s="26">
        <v>0.5</v>
      </c>
      <c r="U36" s="26">
        <v>1</v>
      </c>
      <c r="V36" s="5">
        <f>(I36+N36)</f>
        <v>29078</v>
      </c>
      <c r="W36" s="5">
        <f>I36+R36</f>
        <v>29512</v>
      </c>
      <c r="X36" s="28">
        <f>(W36-V36)/V36</f>
        <v>1.4925373134328358E-2</v>
      </c>
      <c r="Y36" s="6">
        <f>J36+N36</f>
        <v>31162</v>
      </c>
      <c r="Z36" s="6">
        <f>J36+R36</f>
        <v>31596</v>
      </c>
      <c r="AA36" s="29">
        <f>(Z36-Y36)/Y36</f>
        <v>1.3927219048841538E-2</v>
      </c>
      <c r="AB36" s="129">
        <v>2085</v>
      </c>
      <c r="AC36" s="190">
        <f>Z36-W36</f>
        <v>2084</v>
      </c>
      <c r="AD36" s="141">
        <v>0</v>
      </c>
      <c r="AE36" s="49">
        <v>43101</v>
      </c>
    </row>
    <row r="37" spans="1:34" ht="19.5" customHeight="1" thickBot="1" x14ac:dyDescent="0.3">
      <c r="A37" s="76" t="s">
        <v>9</v>
      </c>
      <c r="B37" s="89"/>
      <c r="C37" s="80"/>
      <c r="E37" s="90" t="s">
        <v>85</v>
      </c>
      <c r="F37" s="82"/>
      <c r="G37" s="82"/>
      <c r="H37" s="82"/>
      <c r="I37" s="82"/>
      <c r="J37" s="82"/>
      <c r="K37" s="82"/>
      <c r="L37" s="82"/>
      <c r="M37" s="82"/>
      <c r="N37" s="82"/>
      <c r="O37" s="84"/>
      <c r="P37" s="84"/>
      <c r="Q37" s="84"/>
      <c r="R37" s="84"/>
      <c r="S37" s="85"/>
      <c r="T37" s="83"/>
      <c r="U37" s="83"/>
      <c r="V37" s="91"/>
      <c r="W37" s="91"/>
      <c r="X37" s="85"/>
      <c r="Y37" s="91"/>
      <c r="Z37" s="91"/>
      <c r="AA37" s="85"/>
      <c r="AB37" s="117"/>
      <c r="AC37" s="117"/>
      <c r="AD37" s="128"/>
      <c r="AE37" s="87"/>
    </row>
    <row r="38" spans="1:34" ht="19.5" customHeight="1" thickBot="1" x14ac:dyDescent="0.3">
      <c r="A38" s="74" t="s">
        <v>22</v>
      </c>
      <c r="B38" s="121">
        <v>3039</v>
      </c>
      <c r="C38" s="122">
        <f>E38/4</f>
        <v>3121</v>
      </c>
      <c r="D38" s="144">
        <f>(C38-B38)/B38</f>
        <v>2.6982560052648898E-2</v>
      </c>
      <c r="E38" s="123">
        <v>12484</v>
      </c>
      <c r="F38" s="123">
        <v>15605</v>
      </c>
      <c r="G38" s="123">
        <v>18727</v>
      </c>
      <c r="H38" s="123">
        <v>21848</v>
      </c>
      <c r="I38" s="123">
        <v>24968</v>
      </c>
      <c r="J38" s="123">
        <v>28090</v>
      </c>
      <c r="K38" s="123">
        <v>3112</v>
      </c>
      <c r="L38" s="123">
        <v>3112</v>
      </c>
      <c r="M38" s="123">
        <v>4793</v>
      </c>
      <c r="N38" s="9">
        <f>SUM(K38:M38)</f>
        <v>11017</v>
      </c>
      <c r="O38" s="68">
        <v>3196</v>
      </c>
      <c r="P38" s="68">
        <v>3196</v>
      </c>
      <c r="Q38" s="68">
        <v>4923</v>
      </c>
      <c r="R38" s="70">
        <f>O38+P38+Q38</f>
        <v>11315</v>
      </c>
      <c r="S38" s="18">
        <f>(R38-N38)/N38</f>
        <v>2.7049105927203412E-2</v>
      </c>
      <c r="T38" s="19">
        <v>0.3</v>
      </c>
      <c r="U38" s="19">
        <v>1</v>
      </c>
      <c r="V38" s="2">
        <v>35329</v>
      </c>
      <c r="W38" s="2">
        <f>I38+R38</f>
        <v>36283</v>
      </c>
      <c r="X38" s="21">
        <f>(W38-V38)/V38</f>
        <v>2.7003311726909902E-2</v>
      </c>
      <c r="Y38" s="3">
        <v>38368</v>
      </c>
      <c r="Z38" s="3">
        <f>J38+R38</f>
        <v>39405</v>
      </c>
      <c r="AA38" s="22">
        <f>(Z38-Y38)/Y38</f>
        <v>2.7027731442869057E-2</v>
      </c>
      <c r="AB38" s="128">
        <v>3039</v>
      </c>
      <c r="AC38" s="200">
        <f>28090-24968</f>
        <v>3122</v>
      </c>
      <c r="AD38" s="142">
        <f t="shared" si="0"/>
        <v>2.7311615663047056E-2</v>
      </c>
      <c r="AE38" s="23">
        <v>43101</v>
      </c>
    </row>
    <row r="39" spans="1:34" ht="19.5" customHeight="1" thickBot="1" x14ac:dyDescent="0.3">
      <c r="A39" s="75" t="s">
        <v>58</v>
      </c>
      <c r="B39" s="124">
        <f>B38*0.65</f>
        <v>1975.3500000000001</v>
      </c>
      <c r="C39" s="125">
        <f>C38*0.65</f>
        <v>2028.65</v>
      </c>
      <c r="D39" s="145">
        <f>(C39-B39)/B39</f>
        <v>2.6982560052648874E-2</v>
      </c>
      <c r="E39" s="126">
        <f>E38*0.65</f>
        <v>8114.6</v>
      </c>
      <c r="F39" s="126">
        <f>F38*0.65</f>
        <v>10143.25</v>
      </c>
      <c r="G39" s="126">
        <f t="shared" ref="G39:I39" si="10">G38*0.65</f>
        <v>12172.550000000001</v>
      </c>
      <c r="H39" s="126">
        <f t="shared" si="10"/>
        <v>14201.2</v>
      </c>
      <c r="I39" s="126">
        <f t="shared" si="10"/>
        <v>16229.2</v>
      </c>
      <c r="J39" s="126">
        <f>J38*0.65</f>
        <v>18258.5</v>
      </c>
      <c r="K39" s="126">
        <v>3112</v>
      </c>
      <c r="L39" s="126">
        <v>3112</v>
      </c>
      <c r="M39" s="126">
        <v>4793</v>
      </c>
      <c r="N39" s="10">
        <f>SUM(K39:M39)</f>
        <v>11017</v>
      </c>
      <c r="O39" s="69">
        <v>3196</v>
      </c>
      <c r="P39" s="69">
        <v>3196</v>
      </c>
      <c r="Q39" s="69">
        <v>4923</v>
      </c>
      <c r="R39" s="71">
        <f>O39+P39+Q39</f>
        <v>11315</v>
      </c>
      <c r="S39" s="25">
        <f>(R39-N39)/N39</f>
        <v>2.7049105927203412E-2</v>
      </c>
      <c r="T39" s="26">
        <v>0.3</v>
      </c>
      <c r="U39" s="26">
        <v>1</v>
      </c>
      <c r="V39" s="5">
        <v>26820</v>
      </c>
      <c r="W39" s="5">
        <f>I39+R39</f>
        <v>27544.2</v>
      </c>
      <c r="X39" s="28">
        <f>(W39-V39)/V39</f>
        <v>2.7002237136465351E-2</v>
      </c>
      <c r="Y39" s="6">
        <v>28792</v>
      </c>
      <c r="Z39" s="6">
        <f>J39+R39</f>
        <v>29573.5</v>
      </c>
      <c r="AA39" s="29">
        <f>(Z39-Y39)/Y39</f>
        <v>2.7142956376771325E-2</v>
      </c>
      <c r="AB39" s="129">
        <v>1975</v>
      </c>
      <c r="AC39" s="196">
        <f>AC38*0.65</f>
        <v>2029.3000000000002</v>
      </c>
      <c r="AD39" s="142">
        <f t="shared" si="0"/>
        <v>2.749367088607604E-2</v>
      </c>
      <c r="AE39" s="55">
        <v>43101</v>
      </c>
    </row>
    <row r="40" spans="1:34" ht="19.5" customHeight="1" thickBot="1" x14ac:dyDescent="0.3">
      <c r="A40" s="75" t="s">
        <v>9</v>
      </c>
      <c r="B40" s="93"/>
      <c r="C40" s="80"/>
      <c r="D40" s="90"/>
      <c r="E40" s="82" t="s">
        <v>86</v>
      </c>
      <c r="F40" s="82"/>
      <c r="G40" s="82"/>
      <c r="H40" s="82"/>
      <c r="I40" s="82"/>
      <c r="J40" s="82"/>
      <c r="K40" s="82"/>
      <c r="L40" s="82"/>
      <c r="M40" s="82"/>
      <c r="N40" s="83"/>
      <c r="O40" s="84"/>
      <c r="P40" s="84"/>
      <c r="Q40" s="84"/>
      <c r="R40" s="84"/>
      <c r="S40" s="85"/>
      <c r="T40" s="83"/>
      <c r="U40" s="83"/>
      <c r="V40" s="86"/>
      <c r="W40" s="86"/>
      <c r="X40" s="85"/>
      <c r="Y40" s="91"/>
      <c r="Z40" s="91"/>
      <c r="AA40" s="85"/>
      <c r="AB40" s="117"/>
      <c r="AC40" s="117"/>
      <c r="AD40" s="128"/>
      <c r="AE40" s="87"/>
      <c r="AG40" s="150"/>
    </row>
    <row r="41" spans="1:34" ht="19.5" customHeight="1" thickBot="1" x14ac:dyDescent="0.3">
      <c r="A41" s="75" t="s">
        <v>48</v>
      </c>
      <c r="B41" s="35">
        <v>3333</v>
      </c>
      <c r="C41" s="16">
        <f>E41/4</f>
        <v>3333.25</v>
      </c>
      <c r="D41" s="7">
        <v>0</v>
      </c>
      <c r="E41" s="1">
        <v>13333</v>
      </c>
      <c r="F41" s="1">
        <v>16666</v>
      </c>
      <c r="G41" s="1">
        <v>19999</v>
      </c>
      <c r="H41" s="1">
        <v>23333</v>
      </c>
      <c r="I41" s="1">
        <v>26665</v>
      </c>
      <c r="J41" s="1">
        <v>33334</v>
      </c>
      <c r="K41" s="1">
        <v>2215</v>
      </c>
      <c r="L41" s="1">
        <v>2215</v>
      </c>
      <c r="M41" s="1">
        <v>4406</v>
      </c>
      <c r="N41" s="9">
        <f>SUM(K41:M41)</f>
        <v>8836</v>
      </c>
      <c r="O41" s="68">
        <v>2215</v>
      </c>
      <c r="P41" s="68">
        <v>2215</v>
      </c>
      <c r="Q41" s="68">
        <v>4406</v>
      </c>
      <c r="R41" s="70">
        <f>O41+P41+Q41</f>
        <v>8836</v>
      </c>
      <c r="S41" s="18">
        <v>0</v>
      </c>
      <c r="T41" s="19">
        <v>0.5</v>
      </c>
      <c r="U41" s="19">
        <v>1</v>
      </c>
      <c r="V41" s="2">
        <v>35500</v>
      </c>
      <c r="W41" s="2">
        <f>I41+N41</f>
        <v>35501</v>
      </c>
      <c r="X41" s="21">
        <f>(W41-V41)/V41</f>
        <v>2.8169014084507043E-5</v>
      </c>
      <c r="Y41" s="3">
        <v>42170</v>
      </c>
      <c r="Z41" s="3">
        <f>J41+R41</f>
        <v>42170</v>
      </c>
      <c r="AA41" s="22">
        <v>0</v>
      </c>
      <c r="AB41" s="128">
        <v>6666</v>
      </c>
      <c r="AC41" s="128">
        <v>6666</v>
      </c>
      <c r="AD41" s="141">
        <f t="shared" si="0"/>
        <v>0</v>
      </c>
      <c r="AE41" s="23">
        <v>43101</v>
      </c>
    </row>
    <row r="42" spans="1:34" ht="19.5" customHeight="1" thickBot="1" x14ac:dyDescent="0.3">
      <c r="A42" s="75" t="s">
        <v>57</v>
      </c>
      <c r="B42" s="33">
        <v>2333</v>
      </c>
      <c r="C42" s="15">
        <f>E42/4</f>
        <v>2333.25</v>
      </c>
      <c r="D42" s="8">
        <v>0</v>
      </c>
      <c r="E42" s="4">
        <v>9333</v>
      </c>
      <c r="F42" s="4">
        <v>11666</v>
      </c>
      <c r="G42" s="4">
        <v>14000</v>
      </c>
      <c r="H42" s="4">
        <v>16333</v>
      </c>
      <c r="I42" s="4">
        <v>18666</v>
      </c>
      <c r="J42" s="4">
        <v>23334</v>
      </c>
      <c r="K42" s="4">
        <v>2215</v>
      </c>
      <c r="L42" s="4">
        <v>2215</v>
      </c>
      <c r="M42" s="4">
        <v>4406</v>
      </c>
      <c r="N42" s="10">
        <f>SUM(K42:M42)</f>
        <v>8836</v>
      </c>
      <c r="O42" s="69">
        <v>2215</v>
      </c>
      <c r="P42" s="69">
        <v>2215</v>
      </c>
      <c r="Q42" s="69">
        <v>4406</v>
      </c>
      <c r="R42" s="71">
        <f>O42+P42+Q42</f>
        <v>8836</v>
      </c>
      <c r="S42" s="25">
        <v>0</v>
      </c>
      <c r="T42" s="26">
        <v>0.5</v>
      </c>
      <c r="U42" s="26">
        <v>1</v>
      </c>
      <c r="V42" s="5">
        <v>27500</v>
      </c>
      <c r="W42" s="5">
        <f>I42+N42</f>
        <v>27502</v>
      </c>
      <c r="X42" s="28">
        <f>(W42-V42)/V42</f>
        <v>7.2727272727272728E-5</v>
      </c>
      <c r="Y42" s="6">
        <v>32170</v>
      </c>
      <c r="Z42" s="6">
        <f>J42+R42</f>
        <v>32170</v>
      </c>
      <c r="AA42" s="29">
        <v>0</v>
      </c>
      <c r="AB42" s="129">
        <v>4666</v>
      </c>
      <c r="AC42" s="129">
        <v>4666</v>
      </c>
      <c r="AD42" s="141">
        <f t="shared" si="0"/>
        <v>0</v>
      </c>
      <c r="AE42" s="55">
        <v>43101</v>
      </c>
    </row>
    <row r="43" spans="1:34" ht="19.5" customHeight="1" thickBot="1" x14ac:dyDescent="0.3">
      <c r="A43" s="77" t="s">
        <v>9</v>
      </c>
      <c r="B43" s="151"/>
      <c r="C43" s="109"/>
      <c r="E43" s="99" t="s">
        <v>87</v>
      </c>
      <c r="F43" s="151"/>
      <c r="G43" s="100"/>
      <c r="H43" s="100"/>
      <c r="I43" s="100"/>
      <c r="J43" s="100"/>
      <c r="K43" s="100"/>
      <c r="L43" s="100"/>
      <c r="M43" s="100"/>
      <c r="N43" s="103"/>
      <c r="O43" s="101"/>
      <c r="P43" s="101"/>
      <c r="Q43" s="101"/>
      <c r="R43" s="101"/>
      <c r="S43" s="102"/>
      <c r="T43" s="103"/>
      <c r="U43" s="103"/>
      <c r="V43" s="104"/>
      <c r="W43" s="104"/>
      <c r="X43" s="102"/>
      <c r="Y43" s="104"/>
      <c r="Z43" s="104"/>
      <c r="AA43" s="102"/>
      <c r="AB43" s="120"/>
      <c r="AC43" s="120"/>
      <c r="AD43" s="187"/>
      <c r="AE43" s="110"/>
    </row>
    <row r="44" spans="1:34" ht="19.5" customHeight="1" thickBot="1" x14ac:dyDescent="0.3">
      <c r="A44" s="111" t="s">
        <v>49</v>
      </c>
      <c r="B44" s="35">
        <v>3425</v>
      </c>
      <c r="C44" s="11">
        <v>3425</v>
      </c>
      <c r="D44" s="7">
        <v>0</v>
      </c>
      <c r="E44" s="1">
        <v>13700</v>
      </c>
      <c r="F44" s="1">
        <v>17125</v>
      </c>
      <c r="G44" s="1">
        <v>20550</v>
      </c>
      <c r="H44" s="1">
        <v>23975</v>
      </c>
      <c r="I44" s="1">
        <v>27400</v>
      </c>
      <c r="J44" s="1">
        <v>30825</v>
      </c>
      <c r="K44" s="1"/>
      <c r="L44" s="1"/>
      <c r="M44" s="1"/>
      <c r="N44" s="9">
        <v>9730</v>
      </c>
      <c r="O44" s="68"/>
      <c r="P44" s="68"/>
      <c r="Q44" s="68"/>
      <c r="R44" s="70">
        <v>9730</v>
      </c>
      <c r="S44" s="18">
        <v>0</v>
      </c>
      <c r="T44" s="19">
        <v>0.5</v>
      </c>
      <c r="U44" s="19">
        <v>0.75</v>
      </c>
      <c r="V44" s="2">
        <v>37130</v>
      </c>
      <c r="W44" s="2">
        <f>I44+R44</f>
        <v>37130</v>
      </c>
      <c r="X44" s="21">
        <v>0</v>
      </c>
      <c r="Y44" s="3">
        <f>J44+N44</f>
        <v>40555</v>
      </c>
      <c r="Z44" s="3">
        <f>J44+R44</f>
        <v>40555</v>
      </c>
      <c r="AA44" s="22">
        <v>0</v>
      </c>
      <c r="AB44" s="128">
        <v>3425</v>
      </c>
      <c r="AC44" s="128">
        <v>3425</v>
      </c>
      <c r="AD44" s="141">
        <f t="shared" si="0"/>
        <v>0</v>
      </c>
      <c r="AE44" s="23">
        <v>43101</v>
      </c>
    </row>
    <row r="45" spans="1:34" ht="19.5" customHeight="1" thickBot="1" x14ac:dyDescent="0.3">
      <c r="A45" s="75" t="s">
        <v>59</v>
      </c>
      <c r="B45" s="33">
        <f>B44*0.6</f>
        <v>2055</v>
      </c>
      <c r="C45" s="12">
        <f>C44*0.6</f>
        <v>2055</v>
      </c>
      <c r="D45" s="8">
        <v>0</v>
      </c>
      <c r="E45" s="4">
        <f>E44*0.6</f>
        <v>8220</v>
      </c>
      <c r="F45" s="4">
        <f>F44*0.6</f>
        <v>10275</v>
      </c>
      <c r="G45" s="4">
        <f t="shared" ref="G45:J45" si="11">G44*0.6</f>
        <v>12330</v>
      </c>
      <c r="H45" s="4">
        <f t="shared" si="11"/>
        <v>14385</v>
      </c>
      <c r="I45" s="4">
        <f t="shared" si="11"/>
        <v>16440</v>
      </c>
      <c r="J45" s="4">
        <f>28225-9730</f>
        <v>18495</v>
      </c>
      <c r="K45" s="4"/>
      <c r="L45" s="4"/>
      <c r="M45" s="4"/>
      <c r="N45" s="10">
        <v>9730</v>
      </c>
      <c r="O45" s="69"/>
      <c r="P45" s="69"/>
      <c r="Q45" s="69"/>
      <c r="R45" s="71">
        <v>9730</v>
      </c>
      <c r="S45" s="25">
        <v>0</v>
      </c>
      <c r="T45" s="26">
        <v>0.5</v>
      </c>
      <c r="U45" s="26">
        <v>0.75</v>
      </c>
      <c r="V45" s="5">
        <v>26170</v>
      </c>
      <c r="W45" s="5">
        <f>I45+R45</f>
        <v>26170</v>
      </c>
      <c r="X45" s="28">
        <v>0</v>
      </c>
      <c r="Y45" s="6">
        <f>J45+N44</f>
        <v>28225</v>
      </c>
      <c r="Z45" s="6">
        <f>J45+R45</f>
        <v>28225</v>
      </c>
      <c r="AA45" s="29">
        <v>0</v>
      </c>
      <c r="AB45" s="129">
        <v>2055</v>
      </c>
      <c r="AC45" s="129">
        <v>2055</v>
      </c>
      <c r="AD45" s="141">
        <f t="shared" si="0"/>
        <v>0</v>
      </c>
      <c r="AE45" s="55">
        <v>43101</v>
      </c>
    </row>
    <row r="46" spans="1:34" ht="19.5" customHeight="1" thickBot="1" x14ac:dyDescent="0.3">
      <c r="A46" s="76" t="s">
        <v>9</v>
      </c>
      <c r="B46" s="79"/>
      <c r="C46" s="178"/>
      <c r="D46" s="81" t="s">
        <v>88</v>
      </c>
      <c r="E46" s="155"/>
      <c r="F46" s="82"/>
      <c r="G46" s="178"/>
      <c r="H46" s="82"/>
      <c r="I46" s="82"/>
      <c r="J46" s="82"/>
      <c r="K46" s="155" t="s">
        <v>50</v>
      </c>
      <c r="L46" s="82"/>
      <c r="M46" s="82"/>
      <c r="N46" s="83"/>
      <c r="O46" s="84"/>
      <c r="P46" s="84"/>
      <c r="Q46" s="84"/>
      <c r="R46" s="84"/>
      <c r="S46" s="85"/>
      <c r="T46" s="83"/>
      <c r="U46" s="83"/>
      <c r="V46" s="86"/>
      <c r="W46" s="86"/>
      <c r="X46" s="85"/>
      <c r="Y46" s="86"/>
      <c r="Z46" s="86"/>
      <c r="AA46" s="85"/>
      <c r="AB46" s="117"/>
      <c r="AC46" s="117"/>
      <c r="AD46" s="180"/>
      <c r="AE46" s="87"/>
    </row>
    <row r="47" spans="1:34" ht="19.5" customHeight="1" thickBot="1" x14ac:dyDescent="0.3">
      <c r="A47" s="74" t="s">
        <v>41</v>
      </c>
      <c r="B47" s="35">
        <v>3703</v>
      </c>
      <c r="C47" s="17">
        <v>3703</v>
      </c>
      <c r="D47" s="7">
        <f>(C47-B47)/B47</f>
        <v>0</v>
      </c>
      <c r="E47" s="1">
        <v>14812</v>
      </c>
      <c r="F47" s="1">
        <v>18515</v>
      </c>
      <c r="G47" s="1">
        <v>22218</v>
      </c>
      <c r="H47" s="1">
        <v>25921</v>
      </c>
      <c r="I47" s="1">
        <v>29624</v>
      </c>
      <c r="J47" s="1">
        <v>39172</v>
      </c>
      <c r="K47" s="1">
        <v>1076</v>
      </c>
      <c r="L47" s="1">
        <v>2041</v>
      </c>
      <c r="M47" s="1">
        <v>4481</v>
      </c>
      <c r="N47" s="9">
        <f>SUM(K47:M47)</f>
        <v>7598</v>
      </c>
      <c r="O47" s="1">
        <v>1076</v>
      </c>
      <c r="P47" s="1">
        <v>2041</v>
      </c>
      <c r="Q47" s="1">
        <v>4481</v>
      </c>
      <c r="R47" s="9">
        <f>SUM(O47:Q47)</f>
        <v>7598</v>
      </c>
      <c r="S47" s="18">
        <f>(R47-N47)/N47</f>
        <v>0</v>
      </c>
      <c r="T47" s="19">
        <v>0.25</v>
      </c>
      <c r="U47" s="19">
        <v>1</v>
      </c>
      <c r="V47" s="20">
        <f>I47+R47</f>
        <v>37222</v>
      </c>
      <c r="W47" s="20">
        <f>I47+N47</f>
        <v>37222</v>
      </c>
      <c r="X47" s="21">
        <v>0</v>
      </c>
      <c r="Y47" s="3">
        <f>J47+N47</f>
        <v>46770</v>
      </c>
      <c r="Z47" s="3">
        <v>46770</v>
      </c>
      <c r="AA47" s="22">
        <f>(Z47-Y47)/Y47</f>
        <v>0</v>
      </c>
      <c r="AB47" s="128">
        <v>9548</v>
      </c>
      <c r="AC47" s="128">
        <v>9548</v>
      </c>
      <c r="AD47" s="141">
        <f t="shared" si="0"/>
        <v>0</v>
      </c>
      <c r="AE47" s="23" t="s">
        <v>51</v>
      </c>
    </row>
    <row r="48" spans="1:34" ht="19.5" customHeight="1" x14ac:dyDescent="0.25">
      <c r="A48" s="75" t="s">
        <v>8</v>
      </c>
      <c r="B48" s="33">
        <v>2467</v>
      </c>
      <c r="C48" s="24">
        <v>2467</v>
      </c>
      <c r="D48" s="8">
        <f>(C48-B48)/B48</f>
        <v>0</v>
      </c>
      <c r="E48" s="4">
        <v>9868</v>
      </c>
      <c r="F48" s="4">
        <v>12335</v>
      </c>
      <c r="G48" s="4">
        <v>14802</v>
      </c>
      <c r="H48" s="4">
        <v>17059</v>
      </c>
      <c r="I48" s="4">
        <v>19736</v>
      </c>
      <c r="J48" s="4">
        <v>26201</v>
      </c>
      <c r="K48" s="4">
        <v>1076</v>
      </c>
      <c r="L48" s="4">
        <v>2041</v>
      </c>
      <c r="M48" s="4">
        <v>4481</v>
      </c>
      <c r="N48" s="10">
        <f>SUM(K48:M48)</f>
        <v>7598</v>
      </c>
      <c r="O48" s="4">
        <v>1076</v>
      </c>
      <c r="P48" s="4">
        <v>2041</v>
      </c>
      <c r="Q48" s="4">
        <v>4481</v>
      </c>
      <c r="R48" s="10">
        <f>SUM(O48:Q48)</f>
        <v>7598</v>
      </c>
      <c r="S48" s="25">
        <f>(R48-N48)/N48</f>
        <v>0</v>
      </c>
      <c r="T48" s="19">
        <v>0.25</v>
      </c>
      <c r="U48" s="19">
        <v>1</v>
      </c>
      <c r="V48" s="27">
        <f>I48+R48</f>
        <v>27334</v>
      </c>
      <c r="W48" s="27">
        <f>I48+R48</f>
        <v>27334</v>
      </c>
      <c r="X48" s="28">
        <f>(W48-V48)/W48</f>
        <v>0</v>
      </c>
      <c r="Y48" s="6">
        <f>J48+N48</f>
        <v>33799</v>
      </c>
      <c r="Z48" s="6">
        <v>33799</v>
      </c>
      <c r="AA48" s="29">
        <f>(Z48-Y48)/Y48</f>
        <v>0</v>
      </c>
      <c r="AB48" s="129">
        <v>6465</v>
      </c>
      <c r="AC48" s="129">
        <v>6465</v>
      </c>
      <c r="AD48" s="141">
        <f t="shared" si="0"/>
        <v>0</v>
      </c>
      <c r="AE48" s="55">
        <v>42736</v>
      </c>
    </row>
    <row r="49" spans="1:31" ht="21" customHeight="1" thickBot="1" x14ac:dyDescent="0.3">
      <c r="A49" s="76" t="s">
        <v>9</v>
      </c>
      <c r="B49" s="112"/>
      <c r="C49" s="112"/>
      <c r="D49" s="82"/>
      <c r="E49" s="178"/>
      <c r="F49" s="82"/>
      <c r="G49" s="155" t="s">
        <v>89</v>
      </c>
      <c r="H49" s="178"/>
      <c r="I49" s="82"/>
      <c r="J49" s="82"/>
      <c r="K49" s="82"/>
      <c r="L49" s="82"/>
      <c r="M49" s="82"/>
      <c r="N49" s="83"/>
      <c r="O49" s="81"/>
      <c r="P49" s="82"/>
      <c r="Q49" s="83"/>
      <c r="R49" s="83"/>
      <c r="S49" s="85"/>
      <c r="T49" s="83"/>
      <c r="U49" s="83"/>
      <c r="V49" s="82"/>
      <c r="W49" s="86"/>
      <c r="X49" s="85"/>
      <c r="Y49" s="86"/>
      <c r="Z49" s="86"/>
      <c r="AA49" s="85"/>
      <c r="AB49" s="117"/>
      <c r="AC49" s="117"/>
      <c r="AD49" s="117"/>
      <c r="AE49" s="8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8:G55"/>
  <sheetViews>
    <sheetView topLeftCell="A5" workbookViewId="0">
      <selection activeCell="G9" sqref="G9"/>
    </sheetView>
  </sheetViews>
  <sheetFormatPr defaultRowHeight="15" x14ac:dyDescent="0.25"/>
  <cols>
    <col min="6" max="6" width="48.42578125" customWidth="1"/>
  </cols>
  <sheetData>
    <row r="8" spans="6:7" x14ac:dyDescent="0.25">
      <c r="F8" t="s">
        <v>62</v>
      </c>
      <c r="G8">
        <v>10003</v>
      </c>
    </row>
    <row r="9" spans="6:7" x14ac:dyDescent="0.25">
      <c r="F9" t="s">
        <v>59</v>
      </c>
      <c r="G9">
        <v>4133</v>
      </c>
    </row>
    <row r="10" spans="6:7" x14ac:dyDescent="0.25">
      <c r="F10" t="s">
        <v>9</v>
      </c>
    </row>
    <row r="11" spans="6:7" x14ac:dyDescent="0.25">
      <c r="F11" t="s">
        <v>63</v>
      </c>
      <c r="G11">
        <v>14066</v>
      </c>
    </row>
    <row r="12" spans="6:7" x14ac:dyDescent="0.25">
      <c r="F12" t="s">
        <v>8</v>
      </c>
      <c r="G12">
        <v>9843</v>
      </c>
    </row>
    <row r="13" spans="6:7" x14ac:dyDescent="0.25">
      <c r="F13" t="s">
        <v>9</v>
      </c>
    </row>
    <row r="14" spans="6:7" x14ac:dyDescent="0.25">
      <c r="F14" t="s">
        <v>64</v>
      </c>
      <c r="G14">
        <v>5558</v>
      </c>
    </row>
    <row r="15" spans="6:7" x14ac:dyDescent="0.25">
      <c r="F15" t="s">
        <v>61</v>
      </c>
      <c r="G15">
        <v>3335</v>
      </c>
    </row>
    <row r="16" spans="6:7" x14ac:dyDescent="0.25">
      <c r="F16" t="s">
        <v>60</v>
      </c>
    </row>
    <row r="17" spans="6:7" x14ac:dyDescent="0.25">
      <c r="F17" t="s">
        <v>65</v>
      </c>
      <c r="G17">
        <v>7074</v>
      </c>
    </row>
    <row r="18" spans="6:7" x14ac:dyDescent="0.25">
      <c r="F18" t="s">
        <v>8</v>
      </c>
      <c r="G18">
        <v>4716</v>
      </c>
    </row>
    <row r="19" spans="6:7" x14ac:dyDescent="0.25">
      <c r="F19" t="s">
        <v>9</v>
      </c>
    </row>
    <row r="20" spans="6:7" x14ac:dyDescent="0.25">
      <c r="F20" t="s">
        <v>66</v>
      </c>
      <c r="G20">
        <v>4895</v>
      </c>
    </row>
    <row r="21" spans="6:7" x14ac:dyDescent="0.25">
      <c r="F21" t="s">
        <v>8</v>
      </c>
      <c r="G21">
        <v>3671.25</v>
      </c>
    </row>
    <row r="22" spans="6:7" x14ac:dyDescent="0.25">
      <c r="F22" t="s">
        <v>9</v>
      </c>
    </row>
    <row r="23" spans="6:7" x14ac:dyDescent="0.25">
      <c r="F23" t="s">
        <v>67</v>
      </c>
      <c r="G23">
        <v>7740</v>
      </c>
    </row>
    <row r="24" spans="6:7" x14ac:dyDescent="0.25">
      <c r="F24" t="s">
        <v>8</v>
      </c>
      <c r="G24">
        <v>4644</v>
      </c>
    </row>
    <row r="25" spans="6:7" x14ac:dyDescent="0.25">
      <c r="F25" t="s">
        <v>9</v>
      </c>
    </row>
    <row r="26" spans="6:7" x14ac:dyDescent="0.25">
      <c r="F26" t="s">
        <v>68</v>
      </c>
      <c r="G26">
        <v>4664</v>
      </c>
    </row>
    <row r="27" spans="6:7" x14ac:dyDescent="0.25">
      <c r="F27" t="s">
        <v>55</v>
      </c>
      <c r="G27">
        <v>2798.4</v>
      </c>
    </row>
    <row r="28" spans="6:7" x14ac:dyDescent="0.25">
      <c r="F28" t="s">
        <v>9</v>
      </c>
    </row>
    <row r="29" spans="6:7" x14ac:dyDescent="0.25">
      <c r="F29" t="s">
        <v>69</v>
      </c>
      <c r="G29">
        <v>6120</v>
      </c>
    </row>
    <row r="30" spans="6:7" x14ac:dyDescent="0.25">
      <c r="F30" t="s">
        <v>8</v>
      </c>
      <c r="G30">
        <v>4280</v>
      </c>
    </row>
    <row r="31" spans="6:7" x14ac:dyDescent="0.25">
      <c r="F31" t="s">
        <v>9</v>
      </c>
    </row>
    <row r="32" spans="6:7" x14ac:dyDescent="0.25">
      <c r="F32" t="s">
        <v>70</v>
      </c>
      <c r="G32">
        <v>3530</v>
      </c>
    </row>
    <row r="33" spans="6:7" x14ac:dyDescent="0.25">
      <c r="F33" t="s">
        <v>8</v>
      </c>
      <c r="G33">
        <v>2295</v>
      </c>
    </row>
    <row r="34" spans="6:7" x14ac:dyDescent="0.25">
      <c r="F34" t="s">
        <v>9</v>
      </c>
    </row>
    <row r="35" spans="6:7" x14ac:dyDescent="0.25">
      <c r="F35" t="s">
        <v>71</v>
      </c>
      <c r="G35">
        <v>3369</v>
      </c>
    </row>
    <row r="36" spans="6:7" x14ac:dyDescent="0.25">
      <c r="F36" t="s">
        <v>8</v>
      </c>
      <c r="G36">
        <v>2021.3999999999999</v>
      </c>
    </row>
    <row r="37" spans="6:7" x14ac:dyDescent="0.25">
      <c r="F37" t="s">
        <v>9</v>
      </c>
    </row>
    <row r="38" spans="6:7" x14ac:dyDescent="0.25">
      <c r="F38" t="s">
        <v>72</v>
      </c>
      <c r="G38">
        <v>8300</v>
      </c>
    </row>
    <row r="39" spans="6:7" x14ac:dyDescent="0.25">
      <c r="F39" t="s">
        <v>57</v>
      </c>
      <c r="G39">
        <v>5810</v>
      </c>
    </row>
    <row r="40" spans="6:7" x14ac:dyDescent="0.25">
      <c r="F40" t="s">
        <v>9</v>
      </c>
    </row>
    <row r="41" spans="6:7" x14ac:dyDescent="0.25">
      <c r="F41" t="s">
        <v>73</v>
      </c>
      <c r="G41">
        <v>2977</v>
      </c>
    </row>
    <row r="42" spans="6:7" x14ac:dyDescent="0.25">
      <c r="F42" t="s">
        <v>8</v>
      </c>
      <c r="G42">
        <v>2084</v>
      </c>
    </row>
    <row r="43" spans="6:7" x14ac:dyDescent="0.25">
      <c r="F43" t="s">
        <v>9</v>
      </c>
    </row>
    <row r="44" spans="6:7" x14ac:dyDescent="0.25">
      <c r="F44" t="s">
        <v>74</v>
      </c>
      <c r="G44">
        <v>3122</v>
      </c>
    </row>
    <row r="45" spans="6:7" x14ac:dyDescent="0.25">
      <c r="F45" t="s">
        <v>58</v>
      </c>
      <c r="G45">
        <v>2029.3000000000002</v>
      </c>
    </row>
    <row r="46" spans="6:7" x14ac:dyDescent="0.25">
      <c r="F46" t="s">
        <v>9</v>
      </c>
    </row>
    <row r="47" spans="6:7" x14ac:dyDescent="0.25">
      <c r="F47" t="s">
        <v>75</v>
      </c>
      <c r="G47">
        <v>6666</v>
      </c>
    </row>
    <row r="48" spans="6:7" x14ac:dyDescent="0.25">
      <c r="F48" t="s">
        <v>57</v>
      </c>
      <c r="G48">
        <v>4666</v>
      </c>
    </row>
    <row r="49" spans="6:7" x14ac:dyDescent="0.25">
      <c r="F49" t="s">
        <v>9</v>
      </c>
    </row>
    <row r="50" spans="6:7" x14ac:dyDescent="0.25">
      <c r="F50" t="s">
        <v>76</v>
      </c>
      <c r="G50">
        <v>3425</v>
      </c>
    </row>
    <row r="51" spans="6:7" x14ac:dyDescent="0.25">
      <c r="F51" t="s">
        <v>59</v>
      </c>
      <c r="G51">
        <v>2055</v>
      </c>
    </row>
    <row r="52" spans="6:7" x14ac:dyDescent="0.25">
      <c r="F52" t="s">
        <v>9</v>
      </c>
    </row>
    <row r="53" spans="6:7" x14ac:dyDescent="0.25">
      <c r="F53" t="s">
        <v>47</v>
      </c>
      <c r="G53">
        <v>9548</v>
      </c>
    </row>
    <row r="54" spans="6:7" x14ac:dyDescent="0.25">
      <c r="F54" t="s">
        <v>8</v>
      </c>
      <c r="G54">
        <v>6465</v>
      </c>
    </row>
    <row r="55" spans="6:7" x14ac:dyDescent="0.25">
      <c r="F55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Auður Alfa Ólafsdóttir</dc:creator>
  <cp:lastModifiedBy>Auður Alfa Ólafsdóttir</cp:lastModifiedBy>
  <dcterms:created xsi:type="dcterms:W3CDTF">2018-01-03T16:13:52Z</dcterms:created>
  <dcterms:modified xsi:type="dcterms:W3CDTF">2018-01-15T10:07:46Z</dcterms:modified>
</cp:coreProperties>
</file>