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055" windowHeight="9150" activeTab="2"/>
  </bookViews>
  <sheets>
    <sheet name="3.2.2009" sheetId="1" r:id="rId1"/>
    <sheet name="26.5.2009" sheetId="2" r:id="rId2"/>
    <sheet name="Samanburður" sheetId="3" r:id="rId3"/>
  </sheets>
  <calcPr calcId="125725"/>
</workbook>
</file>

<file path=xl/calcChain.xml><?xml version="1.0" encoding="utf-8"?>
<calcChain xmlns="http://schemas.openxmlformats.org/spreadsheetml/2006/main">
  <c r="C10" i="3"/>
  <c r="M5"/>
  <c r="M6"/>
  <c r="M7"/>
  <c r="M8"/>
  <c r="M9"/>
  <c r="M12"/>
  <c r="M13"/>
  <c r="M14"/>
  <c r="M15"/>
  <c r="M16"/>
  <c r="M17"/>
  <c r="M19"/>
  <c r="M20"/>
  <c r="M21"/>
  <c r="J4"/>
  <c r="J5"/>
  <c r="J6"/>
  <c r="J7"/>
  <c r="J8"/>
  <c r="J9"/>
  <c r="J11"/>
  <c r="J12"/>
  <c r="J13"/>
  <c r="J14"/>
  <c r="J15"/>
  <c r="J16"/>
  <c r="J17"/>
  <c r="J18"/>
  <c r="J19"/>
  <c r="J20"/>
  <c r="J21"/>
  <c r="G7"/>
  <c r="G9"/>
  <c r="G11"/>
  <c r="G12"/>
  <c r="G14"/>
  <c r="G15"/>
  <c r="G16"/>
  <c r="G18"/>
  <c r="G19"/>
  <c r="G20"/>
  <c r="G21"/>
  <c r="D6"/>
  <c r="D7"/>
  <c r="D8"/>
  <c r="D9"/>
  <c r="D11"/>
  <c r="D12"/>
  <c r="D13"/>
  <c r="D15"/>
  <c r="D16"/>
  <c r="D17"/>
  <c r="D19"/>
  <c r="D20"/>
  <c r="D21"/>
  <c r="M4"/>
  <c r="M3"/>
  <c r="J3"/>
  <c r="G5"/>
  <c r="G4"/>
  <c r="G3"/>
  <c r="D5"/>
  <c r="D4"/>
  <c r="D3"/>
  <c r="F17"/>
  <c r="G17" s="1"/>
  <c r="F13"/>
  <c r="G13" s="1"/>
  <c r="L10"/>
  <c r="M10" s="1"/>
  <c r="I10"/>
  <c r="J10" s="1"/>
  <c r="F6"/>
  <c r="G6" s="1"/>
  <c r="K74" i="2" l="1"/>
  <c r="J74"/>
  <c r="L74" s="1"/>
  <c r="I74"/>
  <c r="K73"/>
  <c r="J73"/>
  <c r="L73" s="1"/>
  <c r="I73"/>
  <c r="K72"/>
  <c r="J72"/>
  <c r="L72" s="1"/>
  <c r="I72"/>
  <c r="K71"/>
  <c r="J71"/>
  <c r="L71" s="1"/>
  <c r="I71"/>
  <c r="H69"/>
  <c r="G69"/>
  <c r="E69"/>
  <c r="D69"/>
  <c r="I69" s="1"/>
  <c r="C69"/>
  <c r="K69" s="1"/>
  <c r="K68"/>
  <c r="J68"/>
  <c r="L68" s="1"/>
  <c r="I68"/>
  <c r="G67"/>
  <c r="J67" s="1"/>
  <c r="H66"/>
  <c r="G66"/>
  <c r="E66"/>
  <c r="D66"/>
  <c r="K66" s="1"/>
  <c r="B66"/>
  <c r="J66" s="1"/>
  <c r="K64"/>
  <c r="J64"/>
  <c r="L64" s="1"/>
  <c r="I64"/>
  <c r="K63"/>
  <c r="J63"/>
  <c r="L63" s="1"/>
  <c r="I63"/>
  <c r="K62"/>
  <c r="J62"/>
  <c r="L62" s="1"/>
  <c r="I62"/>
  <c r="K61"/>
  <c r="J61"/>
  <c r="L61" s="1"/>
  <c r="I61"/>
  <c r="K60"/>
  <c r="J60"/>
  <c r="L60" s="1"/>
  <c r="I60"/>
  <c r="K59"/>
  <c r="J59"/>
  <c r="L59" s="1"/>
  <c r="I59"/>
  <c r="K57"/>
  <c r="J57"/>
  <c r="L57" s="1"/>
  <c r="I57"/>
  <c r="K56"/>
  <c r="J56"/>
  <c r="L56" s="1"/>
  <c r="I56"/>
  <c r="H55"/>
  <c r="G55"/>
  <c r="F55"/>
  <c r="E55"/>
  <c r="D55"/>
  <c r="B55"/>
  <c r="J55" s="1"/>
  <c r="K54"/>
  <c r="J54"/>
  <c r="L54" s="1"/>
  <c r="I54"/>
  <c r="K53"/>
  <c r="I53"/>
  <c r="G53"/>
  <c r="J53" s="1"/>
  <c r="L53" s="1"/>
  <c r="K52"/>
  <c r="J52"/>
  <c r="L52" s="1"/>
  <c r="I52"/>
  <c r="K51"/>
  <c r="J51"/>
  <c r="L51" s="1"/>
  <c r="I51"/>
  <c r="K50"/>
  <c r="J50"/>
  <c r="L50" s="1"/>
  <c r="I50"/>
  <c r="K49"/>
  <c r="J49"/>
  <c r="L49" s="1"/>
  <c r="I49"/>
  <c r="K48"/>
  <c r="J48"/>
  <c r="L48" s="1"/>
  <c r="I48"/>
  <c r="K47"/>
  <c r="J47"/>
  <c r="L47" s="1"/>
  <c r="I47"/>
  <c r="K45"/>
  <c r="J45"/>
  <c r="L45" s="1"/>
  <c r="I45"/>
  <c r="K44"/>
  <c r="J44"/>
  <c r="L44" s="1"/>
  <c r="I44"/>
  <c r="K43"/>
  <c r="J43"/>
  <c r="L43" s="1"/>
  <c r="I43"/>
  <c r="H41"/>
  <c r="G41"/>
  <c r="F41"/>
  <c r="E41"/>
  <c r="D41"/>
  <c r="C41"/>
  <c r="K41" s="1"/>
  <c r="F40"/>
  <c r="C40"/>
  <c r="K40" s="1"/>
  <c r="F39"/>
  <c r="D39"/>
  <c r="K39" s="1"/>
  <c r="K38"/>
  <c r="J38"/>
  <c r="L38" s="1"/>
  <c r="I38"/>
  <c r="K37"/>
  <c r="J37"/>
  <c r="L37" s="1"/>
  <c r="I37"/>
  <c r="K36"/>
  <c r="I36"/>
  <c r="G36"/>
  <c r="J36" s="1"/>
  <c r="L36" s="1"/>
  <c r="H35"/>
  <c r="J35" s="1"/>
  <c r="G35"/>
  <c r="K35" s="1"/>
  <c r="H34"/>
  <c r="J34" s="1"/>
  <c r="C34"/>
  <c r="K34" s="1"/>
  <c r="K32"/>
  <c r="J32"/>
  <c r="L32" s="1"/>
  <c r="I32"/>
  <c r="K31"/>
  <c r="J31"/>
  <c r="L31" s="1"/>
  <c r="I31"/>
  <c r="K30"/>
  <c r="J30"/>
  <c r="L30" s="1"/>
  <c r="I30"/>
  <c r="K29"/>
  <c r="J29"/>
  <c r="L29" s="1"/>
  <c r="I29"/>
  <c r="C28"/>
  <c r="J28" s="1"/>
  <c r="C26"/>
  <c r="B26"/>
  <c r="K26" s="1"/>
  <c r="C25"/>
  <c r="B25"/>
  <c r="K25" s="1"/>
  <c r="G24"/>
  <c r="F24"/>
  <c r="D24"/>
  <c r="K24" s="1"/>
  <c r="C23"/>
  <c r="J23" s="1"/>
  <c r="C22"/>
  <c r="B22"/>
  <c r="K22" s="1"/>
  <c r="I21"/>
  <c r="C21"/>
  <c r="K21" s="1"/>
  <c r="H20"/>
  <c r="G20"/>
  <c r="E20"/>
  <c r="D20"/>
  <c r="C20"/>
  <c r="J20" s="1"/>
  <c r="H18"/>
  <c r="G18"/>
  <c r="E18"/>
  <c r="K18" s="1"/>
  <c r="G17"/>
  <c r="J17" s="1"/>
  <c r="H15"/>
  <c r="G15"/>
  <c r="F15"/>
  <c r="E15"/>
  <c r="D15"/>
  <c r="C15"/>
  <c r="B15"/>
  <c r="K15" s="1"/>
  <c r="K14"/>
  <c r="J14"/>
  <c r="L14" s="1"/>
  <c r="I14"/>
  <c r="H13"/>
  <c r="G13"/>
  <c r="C13"/>
  <c r="J13" s="1"/>
  <c r="K11"/>
  <c r="J11"/>
  <c r="L11" s="1"/>
  <c r="I11"/>
  <c r="K10"/>
  <c r="J10"/>
  <c r="L10" s="1"/>
  <c r="I10"/>
  <c r="K9"/>
  <c r="J9"/>
  <c r="L9" s="1"/>
  <c r="I9"/>
  <c r="K8"/>
  <c r="J8"/>
  <c r="L8" s="1"/>
  <c r="I8"/>
  <c r="G7"/>
  <c r="C7"/>
  <c r="K7" s="1"/>
  <c r="K6"/>
  <c r="J6"/>
  <c r="L6" s="1"/>
  <c r="I6"/>
  <c r="K5"/>
  <c r="J5"/>
  <c r="L5" s="1"/>
  <c r="I5"/>
  <c r="K4"/>
  <c r="J4"/>
  <c r="L4" s="1"/>
  <c r="I4"/>
  <c r="K3"/>
  <c r="J3"/>
  <c r="L3" s="1"/>
  <c r="I3"/>
  <c r="L34" l="1"/>
  <c r="L35"/>
  <c r="L66"/>
  <c r="J7"/>
  <c r="L7" s="1"/>
  <c r="I13"/>
  <c r="K13"/>
  <c r="L13" s="1"/>
  <c r="J15"/>
  <c r="L15" s="1"/>
  <c r="I17"/>
  <c r="K17"/>
  <c r="L17" s="1"/>
  <c r="J18"/>
  <c r="L18" s="1"/>
  <c r="I20"/>
  <c r="K20"/>
  <c r="L20" s="1"/>
  <c r="J21"/>
  <c r="L21" s="1"/>
  <c r="J22"/>
  <c r="L22" s="1"/>
  <c r="I23"/>
  <c r="K23"/>
  <c r="L23" s="1"/>
  <c r="J24"/>
  <c r="L24" s="1"/>
  <c r="J25"/>
  <c r="L25" s="1"/>
  <c r="J26"/>
  <c r="L26" s="1"/>
  <c r="I28"/>
  <c r="K28"/>
  <c r="L28" s="1"/>
  <c r="I34"/>
  <c r="I35"/>
  <c r="J39"/>
  <c r="L39" s="1"/>
  <c r="J40"/>
  <c r="L40" s="1"/>
  <c r="J41"/>
  <c r="L41" s="1"/>
  <c r="I55"/>
  <c r="K55"/>
  <c r="L55" s="1"/>
  <c r="I67"/>
  <c r="K67"/>
  <c r="L67" s="1"/>
  <c r="J69"/>
  <c r="L69" s="1"/>
  <c r="I7"/>
  <c r="I15"/>
  <c r="I18"/>
  <c r="I22"/>
  <c r="I24"/>
  <c r="I25"/>
  <c r="I26"/>
  <c r="I39"/>
  <c r="I40"/>
  <c r="I41"/>
  <c r="I66"/>
</calcChain>
</file>

<file path=xl/comments1.xml><?xml version="1.0" encoding="utf-8"?>
<comments xmlns="http://schemas.openxmlformats.org/spreadsheetml/2006/main">
  <authors>
    <author>Ester Sveinbjarnardóttir</author>
  </authors>
  <commentList>
    <comment ref="B11" authorId="0">
      <text>
        <r>
          <rPr>
            <b/>
            <sz val="8"/>
            <color indexed="81"/>
            <rFont val="Tahoma"/>
            <family val="2"/>
          </rPr>
          <t>Ester Sveinbjarnardóttir:</t>
        </r>
        <r>
          <rPr>
            <sz val="8"/>
            <color indexed="81"/>
            <rFont val="Tahoma"/>
            <family val="2"/>
          </rPr>
          <t xml:space="preserve">
260 g
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Ester Sveinbjarnardóttir:</t>
        </r>
        <r>
          <rPr>
            <sz val="8"/>
            <color indexed="81"/>
            <rFont val="Tahoma"/>
            <family val="2"/>
          </rPr>
          <t xml:space="preserve">
260 g</t>
        </r>
      </text>
    </comment>
    <comment ref="G68" authorId="0">
      <text>
        <r>
          <rPr>
            <b/>
            <sz val="8"/>
            <color indexed="81"/>
            <rFont val="Tahoma"/>
            <charset val="1"/>
          </rPr>
          <t>Ester Sveinbjarnardóttir:</t>
        </r>
        <r>
          <rPr>
            <sz val="8"/>
            <color indexed="81"/>
            <rFont val="Tahoma"/>
            <charset val="1"/>
          </rPr>
          <t xml:space="preserve">
170 g
</t>
        </r>
      </text>
    </comment>
    <comment ref="H68" authorId="0">
      <text>
        <r>
          <rPr>
            <b/>
            <sz val="8"/>
            <color indexed="81"/>
            <rFont val="Tahoma"/>
            <charset val="1"/>
          </rPr>
          <t>Ester Sveinbjarnardóttir:</t>
        </r>
        <r>
          <rPr>
            <sz val="8"/>
            <color indexed="81"/>
            <rFont val="Tahoma"/>
            <charset val="1"/>
          </rPr>
          <t xml:space="preserve">
170 g</t>
        </r>
      </text>
    </comment>
    <comment ref="B69" authorId="0">
      <text>
        <r>
          <rPr>
            <b/>
            <sz val="8"/>
            <color indexed="81"/>
            <rFont val="Tahoma"/>
            <charset val="1"/>
          </rPr>
          <t>Ester Sveinbjarnardóttir:</t>
        </r>
        <r>
          <rPr>
            <sz val="8"/>
            <color indexed="81"/>
            <rFont val="Tahoma"/>
            <charset val="1"/>
          </rPr>
          <t xml:space="preserve">
400</t>
        </r>
      </text>
    </comment>
    <comment ref="G69" authorId="0">
      <text>
        <r>
          <rPr>
            <b/>
            <sz val="8"/>
            <color indexed="81"/>
            <rFont val="Tahoma"/>
            <charset val="1"/>
          </rPr>
          <t>Ester Sveinbjarnardóttir:</t>
        </r>
        <r>
          <rPr>
            <sz val="8"/>
            <color indexed="81"/>
            <rFont val="Tahoma"/>
            <charset val="1"/>
          </rPr>
          <t xml:space="preserve">
300 g
</t>
        </r>
      </text>
    </comment>
    <comment ref="H69" authorId="0">
      <text>
        <r>
          <rPr>
            <b/>
            <sz val="8"/>
            <color indexed="81"/>
            <rFont val="Tahoma"/>
            <charset val="1"/>
          </rPr>
          <t>Ester Sveinbjarnardóttir:</t>
        </r>
        <r>
          <rPr>
            <sz val="8"/>
            <color indexed="81"/>
            <rFont val="Tahoma"/>
            <charset val="1"/>
          </rPr>
          <t xml:space="preserve">
300 g
</t>
        </r>
      </text>
    </comment>
    <comment ref="C72" authorId="0">
      <text>
        <r>
          <rPr>
            <b/>
            <sz val="8"/>
            <color indexed="81"/>
            <rFont val="Tahoma"/>
            <family val="2"/>
          </rPr>
          <t>Ester Sveinbjarnardóttir:</t>
        </r>
        <r>
          <rPr>
            <sz val="8"/>
            <color indexed="81"/>
            <rFont val="Tahoma"/>
            <family val="2"/>
          </rPr>
          <t xml:space="preserve">
krem</t>
        </r>
      </text>
    </comment>
    <comment ref="D72" authorId="0">
      <text>
        <r>
          <rPr>
            <b/>
            <sz val="8"/>
            <color indexed="81"/>
            <rFont val="Tahoma"/>
            <family val="2"/>
          </rPr>
          <t>Ester Sveinbjarnardóttir:</t>
        </r>
        <r>
          <rPr>
            <sz val="8"/>
            <color indexed="81"/>
            <rFont val="Tahoma"/>
            <family val="2"/>
          </rPr>
          <t xml:space="preserve">
krem</t>
        </r>
      </text>
    </comment>
  </commentList>
</comments>
</file>

<file path=xl/sharedStrings.xml><?xml version="1.0" encoding="utf-8"?>
<sst xmlns="http://schemas.openxmlformats.org/spreadsheetml/2006/main" count="294" uniqueCount="177">
  <si>
    <t>Verðkönnun ASÍ í matvöruverslunum                                                   27. Janúar 2009</t>
  </si>
  <si>
    <t>BÓNUS</t>
  </si>
  <si>
    <t>KRÓNAN</t>
  </si>
  <si>
    <t>NETTO</t>
  </si>
  <si>
    <t>KASKO</t>
  </si>
  <si>
    <t>Meðaltalsverð</t>
  </si>
  <si>
    <t>Hæsta verð</t>
  </si>
  <si>
    <t>Lægsta verð</t>
  </si>
  <si>
    <t>Munur á hæsta og lægsta</t>
  </si>
  <si>
    <t>Ostur, viðbit og mjólkurvörur</t>
  </si>
  <si>
    <t>Smjör 500 gr.</t>
  </si>
  <si>
    <r>
      <t xml:space="preserve">OS Brauðostur 26% (rauður) </t>
    </r>
    <r>
      <rPr>
        <b/>
        <sz val="12"/>
        <rFont val="Garamond"/>
        <family val="1"/>
      </rPr>
      <t>kg</t>
    </r>
  </si>
  <si>
    <t xml:space="preserve">LGG+ hreint 6x 65 ml </t>
  </si>
  <si>
    <t>e</t>
  </si>
  <si>
    <t>Undanrenna 1 L</t>
  </si>
  <si>
    <t>Bónda Brie 100 g</t>
  </si>
  <si>
    <t xml:space="preserve">Kotasæla 500 g </t>
  </si>
  <si>
    <t>em</t>
  </si>
  <si>
    <t>Nýmjólk 1,5 l</t>
  </si>
  <si>
    <t xml:space="preserve">Rjómi 1/4 l </t>
  </si>
  <si>
    <r>
      <t xml:space="preserve">MS Sýrður rjómi  </t>
    </r>
    <r>
      <rPr>
        <b/>
        <sz val="11"/>
        <rFont val="Arial"/>
        <family val="2"/>
      </rPr>
      <t>10%</t>
    </r>
    <r>
      <rPr>
        <sz val="11"/>
        <rFont val="Arial"/>
        <family val="2"/>
      </rPr>
      <t xml:space="preserve"> - 200 g</t>
    </r>
  </si>
  <si>
    <t>AB mjólk 1 l</t>
  </si>
  <si>
    <r>
      <t xml:space="preserve">Skyr.is </t>
    </r>
    <r>
      <rPr>
        <b/>
        <sz val="11"/>
        <rFont val="Arial"/>
        <family val="2"/>
      </rPr>
      <t>Vanilla</t>
    </r>
    <r>
      <rPr>
        <sz val="11"/>
        <rFont val="Arial"/>
        <family val="2"/>
      </rPr>
      <t xml:space="preserve"> 170 g </t>
    </r>
  </si>
  <si>
    <t>KEA skyr - Hreint 500 g</t>
  </si>
  <si>
    <t>Engjaþykkni  m/jarðab og morgunk. 150 g</t>
  </si>
  <si>
    <t>Kjötvörur og álegg</t>
  </si>
  <si>
    <t>Hamborgarar 4 stk.(4x80g.)m.brauði</t>
  </si>
  <si>
    <t>Kjúklingalæri og leggir saman í pakka- ferskt ódýrasta kílóverð</t>
  </si>
  <si>
    <t>Ungnautahakk 8-12%  kg</t>
  </si>
  <si>
    <t>Svína gúllas - Ódýrasta kílóverð</t>
  </si>
  <si>
    <t xml:space="preserve">Búrfell - Brauðskinka - kg </t>
  </si>
  <si>
    <t>Goða Dönsk lifrakæfa 150 g.</t>
  </si>
  <si>
    <t>Ávextir og grænmeti</t>
  </si>
  <si>
    <t>Appelsínur, per kg</t>
  </si>
  <si>
    <t xml:space="preserve">Perur, per kg. </t>
  </si>
  <si>
    <t xml:space="preserve">Epli græn, per kg </t>
  </si>
  <si>
    <t xml:space="preserve">Vínber rauð, per kg </t>
  </si>
  <si>
    <t>Kartöflur rauðar pr. Kg</t>
  </si>
  <si>
    <t>Tómatar í lausu,  ódýrasta kílóverð</t>
  </si>
  <si>
    <t xml:space="preserve">Gulrætur, per kg </t>
  </si>
  <si>
    <t xml:space="preserve">Paprika rauð, per kg </t>
  </si>
  <si>
    <t>Avocado, per kg</t>
  </si>
  <si>
    <t>Spínat, per kg</t>
  </si>
  <si>
    <t xml:space="preserve">e </t>
  </si>
  <si>
    <t xml:space="preserve">Kínakál per kg </t>
  </si>
  <si>
    <t>Sætar kartöflur, per kg</t>
  </si>
  <si>
    <t>Rucola / Klettasalat, per kg</t>
  </si>
  <si>
    <t>Brauðmeti og kex</t>
  </si>
  <si>
    <r>
      <t xml:space="preserve">Myllu Fittý Samlokubrauð </t>
    </r>
    <r>
      <rPr>
        <b/>
        <sz val="10"/>
        <rFont val="Arial"/>
        <family val="2"/>
      </rPr>
      <t>500</t>
    </r>
    <r>
      <rPr>
        <sz val="10"/>
        <rFont val="Arial"/>
        <family val="2"/>
      </rPr>
      <t xml:space="preserve"> g</t>
    </r>
  </si>
  <si>
    <r>
      <t xml:space="preserve">Heilhveitibrauð, samlokubrauð sneitt - 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Ódýrasta kílóverð</t>
    </r>
  </si>
  <si>
    <t>Píta Jacops pita 6 stk 400 gr. Gróf</t>
  </si>
  <si>
    <t>Ömmubakstur spelt flatkökur - 4 stk  170 g</t>
  </si>
  <si>
    <t>Ömmubakstur Seytt rúgbrauð, 200 gr.</t>
  </si>
  <si>
    <t>Burger hrökkbrauð  sesam- 250 g</t>
  </si>
  <si>
    <t>Finn crisp - Orginal - Ódýrasta kílóverð</t>
  </si>
  <si>
    <t>Crowford's Burbon kremkex 500 gr.</t>
  </si>
  <si>
    <t>Morgunkorn</t>
  </si>
  <si>
    <t>OTA Solgryn Haframjöl -  Ódýrasta kílóverð</t>
  </si>
  <si>
    <t>Lucky Charms ódýrasta kílóverð</t>
  </si>
  <si>
    <t xml:space="preserve">Kellog´s Kornflögur - Ódýrasta kílóverð </t>
  </si>
  <si>
    <t>Frosnar vörur</t>
  </si>
  <si>
    <t>Lambahryggur Frosin kg</t>
  </si>
  <si>
    <t>Ýsuflök frosin roðlaus kg.</t>
  </si>
  <si>
    <t>Myllu Rúllutertubrauð fín, 1 stk - 130 g</t>
  </si>
  <si>
    <t>Rækjur- venjulegar 500 g frostnar</t>
  </si>
  <si>
    <t>Dósamatur og þurrvörur</t>
  </si>
  <si>
    <t xml:space="preserve">Hunt´s tómatar í dós 411 g (heilir eða saxaðir) </t>
  </si>
  <si>
    <t>Hunt´s tomatoes paste - tómatpúrra 170 g</t>
  </si>
  <si>
    <t>Barilla - Farfalle pasta slaufur 500 g</t>
  </si>
  <si>
    <t xml:space="preserve">Spagetti - Ódýrasta kílóverð </t>
  </si>
  <si>
    <t xml:space="preserve">Ora fiskibollur 1/1 dós 830 g </t>
  </si>
  <si>
    <t>Filipo Berio ólífuolía - Ódýrasta lítraverð</t>
  </si>
  <si>
    <t>Kaffi, te og kakómalt</t>
  </si>
  <si>
    <t>Kaffitár Morgundögg 500 g</t>
  </si>
  <si>
    <t xml:space="preserve">Merrild Senso - medium roast 18 skammatar,  125 g </t>
  </si>
  <si>
    <t>Nescafé gull 100 g</t>
  </si>
  <si>
    <t>Drykkjarvörur</t>
  </si>
  <si>
    <t>Brazzi appelsínusafi 1 l</t>
  </si>
  <si>
    <r>
      <t xml:space="preserve">Svali epla 35 % hreinn </t>
    </r>
    <r>
      <rPr>
        <b/>
        <sz val="11"/>
        <rFont val="Arial"/>
        <family val="2"/>
      </rPr>
      <t xml:space="preserve">3 x 250 ml - </t>
    </r>
  </si>
  <si>
    <r>
      <t xml:space="preserve">Coca cola </t>
    </r>
    <r>
      <rPr>
        <b/>
        <sz val="11"/>
        <rFont val="Arial"/>
        <family val="2"/>
      </rPr>
      <t>2 l</t>
    </r>
  </si>
  <si>
    <r>
      <t xml:space="preserve">Egils kristall sítrónu </t>
    </r>
    <r>
      <rPr>
        <b/>
        <sz val="11"/>
        <rFont val="Arial"/>
        <family val="2"/>
      </rPr>
      <t>1/2 l</t>
    </r>
    <r>
      <rPr>
        <sz val="11"/>
        <rFont val="Arial"/>
        <family val="2"/>
      </rPr>
      <t xml:space="preserve">. </t>
    </r>
  </si>
  <si>
    <t>Sætindi og snakk</t>
  </si>
  <si>
    <t>Góu Hraun bitar í kassa 200 g</t>
  </si>
  <si>
    <t>Pop Secret  6 pk, 594 g</t>
  </si>
  <si>
    <t>Stjörnu Ostapopp 100 g</t>
  </si>
  <si>
    <t xml:space="preserve">Dorritos Cool American 200 g </t>
  </si>
  <si>
    <t xml:space="preserve">Hreinlætisvörur </t>
  </si>
  <si>
    <t>Neutral storvask 2 kg.</t>
  </si>
  <si>
    <t>Ariel Biological þvottaefni -  kílóverð</t>
  </si>
  <si>
    <t>Colgate Tannkrem - Total, lítraverð</t>
  </si>
  <si>
    <t>Pampers - Baby dry bleyjur - Maxi 7-18 kg - stykkjaverð</t>
  </si>
  <si>
    <t xml:space="preserve">Blautklútar Pampers SENSITIVE REFILL 63 stk. </t>
  </si>
  <si>
    <t>Kattamatur, Wiskas dray 2 kg. Ódýrasta bragð</t>
  </si>
  <si>
    <t>Hundamatur, Pedigriee 3 kg. Ódýrasta bragð</t>
  </si>
  <si>
    <t>Verðkönnun ASÍ í matvöruverslunum                                                   2.apríl 2009</t>
  </si>
  <si>
    <t>BÓNUS              Holtagörðum</t>
  </si>
  <si>
    <t>KRÓNAN    Granda</t>
  </si>
  <si>
    <t>NETTO               Mjódd</t>
  </si>
  <si>
    <t>KASKO   Vesturbergi 76</t>
  </si>
  <si>
    <t>Hagkaup   Kringlunni</t>
  </si>
  <si>
    <t>Fjarðarkaup  Hólshrauni, Hafnarfirði</t>
  </si>
  <si>
    <t>Nóatún Nóatúni 17</t>
  </si>
  <si>
    <t>Smjör 500 g</t>
  </si>
  <si>
    <t>Smjörvi 300 g</t>
  </si>
  <si>
    <t xml:space="preserve">Nýmjólk 1 l </t>
  </si>
  <si>
    <t xml:space="preserve">Rjómi 1/4 l - lítil ferna </t>
  </si>
  <si>
    <t>Gouda mildur 26% ostur Kílóverð</t>
  </si>
  <si>
    <t>Gullostur 250 g</t>
  </si>
  <si>
    <t>Mjólka hindberjaskyrterta</t>
  </si>
  <si>
    <t>MS bláberjaostakaka</t>
  </si>
  <si>
    <t>Heilhveitibrauð - ódýrasta kílóverð</t>
  </si>
  <si>
    <t>Myllu Fittý Samlokubrauð 500 g</t>
  </si>
  <si>
    <t xml:space="preserve">Flatkökur ódýrasta kílóaverð </t>
  </si>
  <si>
    <t>OTA Solgryn Haframjöl - ódýrasta kílóverð</t>
  </si>
  <si>
    <t>Cheerios - ódýrasta kílóverð</t>
  </si>
  <si>
    <t>Kjúklingabringur ferskar  (skinnlausar) kílóverð</t>
  </si>
  <si>
    <t>Lambalærissneiðar - Ódýrasta kílóverð skrá niður framleiðanda</t>
  </si>
  <si>
    <t>Svínahnakki sneiðar - kg</t>
  </si>
  <si>
    <t>Ungnautahakk 8-12% - Ódýrasta kílóverð</t>
  </si>
  <si>
    <t>Ora Lúxus síld - skrá niður verð og þyngd</t>
  </si>
  <si>
    <t>SS Pepperoni í sneiðum - ódýrasta kílóverð</t>
  </si>
  <si>
    <t>Skinka niðursneidd/ álegg a.m.k. 80% kjötinnihald - ódýrasta kílóverð</t>
  </si>
  <si>
    <r>
      <t xml:space="preserve">Lambalæri - </t>
    </r>
    <r>
      <rPr>
        <b/>
        <sz val="11"/>
        <rFont val="Arial"/>
        <family val="2"/>
      </rPr>
      <t>frosið</t>
    </r>
    <r>
      <rPr>
        <sz val="11"/>
        <rFont val="Arial"/>
        <family val="2"/>
      </rPr>
      <t xml:space="preserve"> - kg</t>
    </r>
  </si>
  <si>
    <r>
      <t xml:space="preserve">Kjúklingur </t>
    </r>
    <r>
      <rPr>
        <b/>
        <sz val="11"/>
        <rFont val="Arial"/>
        <family val="2"/>
      </rPr>
      <t>heill frosinn</t>
    </r>
    <r>
      <rPr>
        <sz val="11"/>
        <rFont val="Arial"/>
        <family val="2"/>
      </rPr>
      <t xml:space="preserve"> kg</t>
    </r>
  </si>
  <si>
    <r>
      <t xml:space="preserve">Ýsa roð og beinlaus - </t>
    </r>
    <r>
      <rPr>
        <b/>
        <sz val="11"/>
        <rFont val="Arial"/>
        <family val="2"/>
      </rPr>
      <t>kílóverð</t>
    </r>
  </si>
  <si>
    <r>
      <t xml:space="preserve">Vanilluís - </t>
    </r>
    <r>
      <rPr>
        <b/>
        <sz val="11"/>
        <rFont val="Arial"/>
        <family val="2"/>
      </rPr>
      <t>Ódýrasta lítraverð</t>
    </r>
  </si>
  <si>
    <t>Kjörís Vanillupinnar 10 stk</t>
  </si>
  <si>
    <r>
      <t xml:space="preserve">Spagetti - </t>
    </r>
    <r>
      <rPr>
        <b/>
        <sz val="11"/>
        <rFont val="Arial"/>
        <family val="2"/>
      </rPr>
      <t>ódýrasta kílóverð</t>
    </r>
  </si>
  <si>
    <r>
      <t>Pasta spelt skrúfur -</t>
    </r>
    <r>
      <rPr>
        <b/>
        <sz val="11"/>
        <rFont val="Arial"/>
        <family val="2"/>
      </rPr>
      <t xml:space="preserve"> ódýrasta kílóverð</t>
    </r>
  </si>
  <si>
    <r>
      <t xml:space="preserve">Brún hrísgrjón - </t>
    </r>
    <r>
      <rPr>
        <b/>
        <sz val="11"/>
        <rFont val="Arial"/>
        <family val="2"/>
      </rPr>
      <t>ódýrasta kílóverð</t>
    </r>
  </si>
  <si>
    <r>
      <t xml:space="preserve">ÍSÍÓ4 jurtaolía - </t>
    </r>
    <r>
      <rPr>
        <b/>
        <sz val="11"/>
        <rFont val="Arial"/>
        <family val="2"/>
      </rPr>
      <t>Ódýrasta lítraverð</t>
    </r>
  </si>
  <si>
    <r>
      <t xml:space="preserve">Vöffluduft 500 g - </t>
    </r>
    <r>
      <rPr>
        <b/>
        <sz val="11"/>
        <rFont val="Arial"/>
        <family val="2"/>
      </rPr>
      <t>ódýrasta verð</t>
    </r>
  </si>
  <si>
    <t>Hveiti 2 kg</t>
  </si>
  <si>
    <r>
      <t xml:space="preserve">Ora Maiskorn - </t>
    </r>
    <r>
      <rPr>
        <b/>
        <sz val="11"/>
        <rFont val="Arial"/>
        <family val="2"/>
      </rPr>
      <t>ódýrasta kílóverð</t>
    </r>
  </si>
  <si>
    <r>
      <t>Hunt's</t>
    </r>
    <r>
      <rPr>
        <sz val="14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BBQ Original - </t>
    </r>
    <r>
      <rPr>
        <b/>
        <sz val="11"/>
        <color indexed="8"/>
        <rFont val="Arial"/>
        <family val="2"/>
      </rPr>
      <t>skrá niður þyngd</t>
    </r>
  </si>
  <si>
    <r>
      <t xml:space="preserve">BKI kaffi </t>
    </r>
    <r>
      <rPr>
        <b/>
        <sz val="11"/>
        <rFont val="Arial"/>
        <family val="2"/>
      </rPr>
      <t>500 g</t>
    </r>
  </si>
  <si>
    <r>
      <rPr>
        <sz val="11"/>
        <color theme="1"/>
        <rFont val="Calibri"/>
        <family val="2"/>
        <scheme val="minor"/>
      </rPr>
      <t>Kaffitár Morgundögg,</t>
    </r>
    <r>
      <rPr>
        <b/>
        <sz val="11"/>
        <color indexed="8"/>
        <rFont val="Calibri"/>
        <family val="2"/>
      </rPr>
      <t xml:space="preserve"> 500 gr BAUNIR</t>
    </r>
  </si>
  <si>
    <t>Pickwick Green te orignial lemon - 20 stk í pakka</t>
  </si>
  <si>
    <r>
      <t xml:space="preserve">Vínber græn, per kg - </t>
    </r>
    <r>
      <rPr>
        <b/>
        <sz val="11"/>
        <rFont val="Arial"/>
        <family val="2"/>
      </rPr>
      <t>Ódýrasta kílóverð</t>
    </r>
  </si>
  <si>
    <r>
      <t xml:space="preserve">Epli rauð, per kg - </t>
    </r>
    <r>
      <rPr>
        <b/>
        <sz val="11"/>
        <rFont val="Arial"/>
        <family val="2"/>
      </rPr>
      <t>Ódýrasta kílóverð</t>
    </r>
  </si>
  <si>
    <r>
      <t xml:space="preserve">Bananar, per kg - </t>
    </r>
    <r>
      <rPr>
        <b/>
        <sz val="11"/>
        <rFont val="Arial"/>
        <family val="2"/>
      </rPr>
      <t>Ódýrasta kílóverð</t>
    </r>
  </si>
  <si>
    <r>
      <t xml:space="preserve">Appelsínur, per kg.- </t>
    </r>
    <r>
      <rPr>
        <b/>
        <sz val="11"/>
        <rFont val="Arial"/>
        <family val="2"/>
      </rPr>
      <t>Ódýrasta kílóverð</t>
    </r>
  </si>
  <si>
    <r>
      <t xml:space="preserve">Avocado - </t>
    </r>
    <r>
      <rPr>
        <b/>
        <sz val="11"/>
        <rFont val="Arial"/>
        <family val="2"/>
      </rPr>
      <t>Ódýrasta kílóverð</t>
    </r>
  </si>
  <si>
    <r>
      <t>Tómatar, per kg</t>
    </r>
    <r>
      <rPr>
        <b/>
        <sz val="11"/>
        <rFont val="Arial"/>
        <family val="2"/>
      </rPr>
      <t xml:space="preserve"> - Ódýrasta kílóverð</t>
    </r>
  </si>
  <si>
    <r>
      <t xml:space="preserve">Gulrætur, per kg - </t>
    </r>
    <r>
      <rPr>
        <b/>
        <sz val="11"/>
        <rFont val="Arial"/>
        <family val="2"/>
      </rPr>
      <t>Ódýrasta kílóverð</t>
    </r>
  </si>
  <si>
    <r>
      <t xml:space="preserve">Paprika græn, per kg - </t>
    </r>
    <r>
      <rPr>
        <b/>
        <sz val="11"/>
        <rFont val="Arial"/>
        <family val="2"/>
      </rPr>
      <t>Ódýrasta kílóverð</t>
    </r>
  </si>
  <si>
    <r>
      <t xml:space="preserve">Spínat - </t>
    </r>
    <r>
      <rPr>
        <b/>
        <sz val="11"/>
        <rFont val="Arial"/>
        <family val="2"/>
      </rPr>
      <t>skrá niður verð og þyngd</t>
    </r>
  </si>
  <si>
    <r>
      <t xml:space="preserve">Kínakál - </t>
    </r>
    <r>
      <rPr>
        <b/>
        <sz val="11"/>
        <rFont val="Arial"/>
        <family val="2"/>
      </rPr>
      <t>ódýrasta kílóverð</t>
    </r>
  </si>
  <si>
    <r>
      <t xml:space="preserve">Sætar kartöflur, </t>
    </r>
    <r>
      <rPr>
        <b/>
        <sz val="11"/>
        <rFont val="Arial"/>
        <family val="2"/>
      </rPr>
      <t>ódýrasta kílóverð</t>
    </r>
    <r>
      <rPr>
        <sz val="11"/>
        <rFont val="Arial"/>
        <family val="2"/>
      </rPr>
      <t xml:space="preserve"> </t>
    </r>
  </si>
  <si>
    <r>
      <t xml:space="preserve">Brazzi Appelsínusafi - </t>
    </r>
    <r>
      <rPr>
        <b/>
        <sz val="11"/>
        <rFont val="Arial"/>
        <family val="2"/>
      </rPr>
      <t>1l</t>
    </r>
  </si>
  <si>
    <r>
      <t xml:space="preserve">Eplasafi 100% hreinn - </t>
    </r>
    <r>
      <rPr>
        <b/>
        <sz val="11"/>
        <rFont val="Arial"/>
        <family val="2"/>
      </rPr>
      <t>1l - ódýrasta lítraverð</t>
    </r>
  </si>
  <si>
    <r>
      <t xml:space="preserve">Egils kristall m. sítrónu </t>
    </r>
    <r>
      <rPr>
        <b/>
        <sz val="11"/>
        <rFont val="Arial"/>
        <family val="2"/>
      </rPr>
      <t>1/2 l</t>
    </r>
  </si>
  <si>
    <r>
      <t xml:space="preserve">Svali epla </t>
    </r>
    <r>
      <rPr>
        <b/>
        <sz val="11"/>
        <rFont val="Arial"/>
        <family val="2"/>
      </rPr>
      <t>3 x 350 ml - ath 3 fernur saman</t>
    </r>
  </si>
  <si>
    <r>
      <t xml:space="preserve">Léttöl - </t>
    </r>
    <r>
      <rPr>
        <b/>
        <sz val="11"/>
        <rFont val="Arial"/>
        <family val="2"/>
      </rPr>
      <t>ódýrasta lítraverð skrá niður tegund og þyngd</t>
    </r>
  </si>
  <si>
    <r>
      <t xml:space="preserve">Örbygljupoppkorn - </t>
    </r>
    <r>
      <rPr>
        <b/>
        <sz val="11"/>
        <rFont val="Arial"/>
        <family val="2"/>
      </rPr>
      <t>ódýrasta kílóverð</t>
    </r>
  </si>
  <si>
    <r>
      <t xml:space="preserve">Nóa konfekt í kassa - </t>
    </r>
    <r>
      <rPr>
        <b/>
        <sz val="11"/>
        <rFont val="Arial"/>
        <family val="2"/>
      </rPr>
      <t xml:space="preserve">Ódýrasta kílóverð </t>
    </r>
  </si>
  <si>
    <r>
      <t xml:space="preserve">Pringles orginal </t>
    </r>
    <r>
      <rPr>
        <b/>
        <sz val="11"/>
        <rFont val="Arial"/>
        <family val="2"/>
      </rPr>
      <t>(rauður)170g.</t>
    </r>
  </si>
  <si>
    <r>
      <t xml:space="preserve">Appollo lakrískonfekt - </t>
    </r>
    <r>
      <rPr>
        <b/>
        <sz val="11"/>
        <rFont val="Arial"/>
        <family val="2"/>
      </rPr>
      <t>skrá niður verð og grömm á pakka</t>
    </r>
  </si>
  <si>
    <t>Ajax original - skrá niður ml</t>
  </si>
  <si>
    <t>CIF with bleach 500 ml</t>
  </si>
  <si>
    <r>
      <t xml:space="preserve">Allways Vort.Ultra Normal - </t>
    </r>
    <r>
      <rPr>
        <b/>
        <sz val="11"/>
        <rFont val="Arial"/>
        <family val="2"/>
      </rPr>
      <t>skrá niður stykkjafjölda</t>
    </r>
  </si>
  <si>
    <r>
      <t xml:space="preserve">Bleiur ódýrastakílóverð -  </t>
    </r>
    <r>
      <rPr>
        <b/>
        <sz val="11"/>
        <rFont val="Arial"/>
        <family val="2"/>
      </rPr>
      <t>Maxi 8-19 KG - skrá niður tegund</t>
    </r>
  </si>
  <si>
    <t xml:space="preserve">Bónus              </t>
  </si>
  <si>
    <t xml:space="preserve">Krónan                    </t>
  </si>
  <si>
    <t>Krónan          Fiskislóð</t>
  </si>
  <si>
    <t xml:space="preserve">Nettó                      </t>
  </si>
  <si>
    <t>Nettó                       Hverafold</t>
  </si>
  <si>
    <t xml:space="preserve">Kaskó             </t>
  </si>
  <si>
    <t xml:space="preserve">Kaskó      Vesturbergi </t>
  </si>
  <si>
    <t>Breyting</t>
  </si>
  <si>
    <t>Febrúar</t>
  </si>
  <si>
    <t>Maí</t>
  </si>
  <si>
    <t>Coca cola 2 l</t>
  </si>
  <si>
    <t xml:space="preserve">Egils kristall sítrónu 1/2 l. </t>
  </si>
  <si>
    <t>Svali epla 35 % hreinn 3 x 250 ml</t>
  </si>
  <si>
    <t xml:space="preserve">Verðkannanir ASÍ í matvöruverslunum                                í febrúar og maí 2009                    </t>
  </si>
  <si>
    <t>Ýsuflök frosin roðlaus ódýrasta kílóverð</t>
  </si>
</sst>
</file>

<file path=xl/styles.xml><?xml version="1.0" encoding="utf-8"?>
<styleSheet xmlns="http://schemas.openxmlformats.org/spreadsheetml/2006/main">
  <numFmts count="4">
    <numFmt numFmtId="43" formatCode="_-* #,##0.00\ _k_r_._-;\-* #,##0.00\ _k_r_._-;_-* &quot;-&quot;??\ _k_r_._-;_-@_-"/>
    <numFmt numFmtId="164" formatCode="#,##0_ ;\-#,##0\ "/>
    <numFmt numFmtId="165" formatCode="0.0%"/>
    <numFmt numFmtId="166" formatCode="_-* #,##0\ _k_r_._-;\-* #,##0\ _k_r_._-;_-* &quot;-&quot;??\ _k_r_.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16"/>
      <name val="Garamond"/>
      <family val="1"/>
    </font>
    <font>
      <sz val="12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40">
    <xf numFmtId="0" fontId="0" fillId="0" borderId="0" xfId="0"/>
    <xf numFmtId="0" fontId="6" fillId="9" borderId="21" xfId="0" applyFont="1" applyFill="1" applyBorder="1" applyAlignment="1">
      <alignment horizontal="center" textRotation="90" wrapText="1"/>
    </xf>
    <xf numFmtId="0" fontId="6" fillId="2" borderId="2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1" fontId="3" fillId="0" borderId="3" xfId="0" applyNumberFormat="1" applyFont="1" applyFill="1" applyBorder="1" applyAlignment="1">
      <alignment horizontal="left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4" fontId="3" fillId="0" borderId="17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center" vertical="center"/>
    </xf>
    <xf numFmtId="0" fontId="9" fillId="0" borderId="12" xfId="0" applyFont="1" applyFill="1" applyBorder="1"/>
    <xf numFmtId="0" fontId="9" fillId="0" borderId="4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165" fontId="3" fillId="4" borderId="14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3" xfId="1" applyNumberFormat="1" applyFont="1" applyFill="1" applyBorder="1" applyAlignment="1">
      <alignment horizontal="left" vertical="center"/>
    </xf>
    <xf numFmtId="166" fontId="3" fillId="0" borderId="21" xfId="1" applyNumberFormat="1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166" fontId="3" fillId="5" borderId="3" xfId="1" applyNumberFormat="1" applyFont="1" applyFill="1" applyBorder="1" applyAlignment="1">
      <alignment horizontal="left" vertical="center"/>
    </xf>
    <xf numFmtId="1" fontId="3" fillId="5" borderId="3" xfId="0" applyNumberFormat="1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166" fontId="3" fillId="6" borderId="3" xfId="1" applyNumberFormat="1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166" fontId="3" fillId="7" borderId="3" xfId="1" applyNumberFormat="1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Fill="1"/>
    <xf numFmtId="0" fontId="6" fillId="8" borderId="21" xfId="0" applyFont="1" applyFill="1" applyBorder="1" applyAlignment="1">
      <alignment horizontal="center" textRotation="90" wrapText="1"/>
    </xf>
    <xf numFmtId="0" fontId="6" fillId="10" borderId="21" xfId="0" applyFont="1" applyFill="1" applyBorder="1" applyAlignment="1">
      <alignment horizontal="center" textRotation="90" wrapText="1"/>
    </xf>
    <xf numFmtId="0" fontId="6" fillId="11" borderId="21" xfId="0" applyFont="1" applyFill="1" applyBorder="1" applyAlignment="1">
      <alignment horizontal="center" textRotation="90" wrapText="1"/>
    </xf>
    <xf numFmtId="0" fontId="6" fillId="12" borderId="21" xfId="0" applyFont="1" applyFill="1" applyBorder="1" applyAlignment="1">
      <alignment horizontal="center" textRotation="90" wrapText="1"/>
    </xf>
    <xf numFmtId="0" fontId="6" fillId="13" borderId="21" xfId="0" applyFont="1" applyFill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/>
    </xf>
    <xf numFmtId="0" fontId="2" fillId="0" borderId="21" xfId="0" applyFont="1" applyFill="1" applyBorder="1" applyAlignment="1">
      <alignment horizontal="center" textRotation="90"/>
    </xf>
    <xf numFmtId="0" fontId="2" fillId="0" borderId="22" xfId="0" applyFont="1" applyBorder="1" applyAlignment="1">
      <alignment horizontal="center" textRotation="90"/>
    </xf>
    <xf numFmtId="0" fontId="3" fillId="0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66" fontId="3" fillId="3" borderId="3" xfId="1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166" fontId="3" fillId="14" borderId="3" xfId="1" applyNumberFormat="1" applyFont="1" applyFill="1" applyBorder="1" applyAlignment="1">
      <alignment horizontal="center" vertical="center"/>
    </xf>
    <xf numFmtId="166" fontId="3" fillId="0" borderId="17" xfId="1" applyNumberFormat="1" applyFont="1" applyFill="1" applyBorder="1" applyAlignment="1">
      <alignment horizontal="center" vertical="center"/>
    </xf>
    <xf numFmtId="166" fontId="3" fillId="0" borderId="15" xfId="1" applyNumberFormat="1" applyFont="1" applyFill="1" applyBorder="1" applyAlignment="1">
      <alignment horizontal="center" vertical="center"/>
    </xf>
    <xf numFmtId="165" fontId="3" fillId="2" borderId="16" xfId="2" applyNumberFormat="1" applyFont="1" applyFill="1" applyBorder="1" applyAlignment="1">
      <alignment horizontal="center" vertical="center"/>
    </xf>
    <xf numFmtId="166" fontId="3" fillId="0" borderId="28" xfId="1" applyNumberFormat="1" applyFont="1" applyFill="1" applyBorder="1" applyAlignment="1">
      <alignment horizontal="center" vertical="center"/>
    </xf>
    <xf numFmtId="166" fontId="3" fillId="3" borderId="28" xfId="1" applyNumberFormat="1" applyFont="1" applyFill="1" applyBorder="1" applyAlignment="1">
      <alignment horizontal="center" vertical="center"/>
    </xf>
    <xf numFmtId="166" fontId="3" fillId="14" borderId="28" xfId="1" applyNumberFormat="1" applyFont="1" applyFill="1" applyBorder="1" applyAlignment="1">
      <alignment horizontal="center" vertical="center"/>
    </xf>
    <xf numFmtId="166" fontId="3" fillId="0" borderId="29" xfId="1" applyNumberFormat="1" applyFont="1" applyFill="1" applyBorder="1" applyAlignment="1">
      <alignment horizontal="center" vertical="center"/>
    </xf>
    <xf numFmtId="166" fontId="3" fillId="0" borderId="30" xfId="1" applyNumberFormat="1" applyFont="1" applyFill="1" applyBorder="1" applyAlignment="1">
      <alignment horizontal="center" vertical="center"/>
    </xf>
    <xf numFmtId="165" fontId="3" fillId="2" borderId="31" xfId="2" applyNumberFormat="1" applyFont="1" applyFill="1" applyBorder="1" applyAlignment="1">
      <alignment horizontal="center" vertical="center"/>
    </xf>
    <xf numFmtId="166" fontId="3" fillId="2" borderId="7" xfId="1" applyNumberFormat="1" applyFont="1" applyFill="1" applyBorder="1" applyAlignment="1">
      <alignment horizontal="center" vertical="center" wrapText="1"/>
    </xf>
    <xf numFmtId="166" fontId="3" fillId="4" borderId="7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3" borderId="32" xfId="1" applyNumberFormat="1" applyFont="1" applyFill="1" applyBorder="1" applyAlignment="1">
      <alignment horizontal="center" vertical="center"/>
    </xf>
    <xf numFmtId="166" fontId="3" fillId="0" borderId="32" xfId="1" applyNumberFormat="1" applyFont="1" applyFill="1" applyBorder="1" applyAlignment="1">
      <alignment horizontal="center" vertical="center"/>
    </xf>
    <xf numFmtId="166" fontId="3" fillId="14" borderId="32" xfId="1" applyNumberFormat="1" applyFont="1" applyFill="1" applyBorder="1" applyAlignment="1">
      <alignment horizontal="center" vertical="center"/>
    </xf>
    <xf numFmtId="166" fontId="3" fillId="0" borderId="26" xfId="1" applyNumberFormat="1" applyFont="1" applyFill="1" applyBorder="1" applyAlignment="1">
      <alignment horizontal="center" vertical="center"/>
    </xf>
    <xf numFmtId="166" fontId="3" fillId="0" borderId="24" xfId="1" applyNumberFormat="1" applyFont="1" applyFill="1" applyBorder="1" applyAlignment="1">
      <alignment horizontal="center" vertical="center"/>
    </xf>
    <xf numFmtId="165" fontId="3" fillId="2" borderId="25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43" fontId="3" fillId="0" borderId="0" xfId="1" applyFont="1" applyFill="1" applyAlignment="1">
      <alignment horizontal="left" vertical="center"/>
    </xf>
    <xf numFmtId="166" fontId="3" fillId="0" borderId="0" xfId="1" applyNumberFormat="1" applyFont="1" applyFill="1"/>
    <xf numFmtId="166" fontId="3" fillId="3" borderId="33" xfId="1" applyNumberFormat="1" applyFont="1" applyFill="1" applyBorder="1" applyAlignment="1">
      <alignment horizontal="center" vertical="center"/>
    </xf>
    <xf numFmtId="166" fontId="3" fillId="0" borderId="33" xfId="1" applyNumberFormat="1" applyFont="1" applyFill="1" applyBorder="1" applyAlignment="1">
      <alignment horizontal="center" vertical="center"/>
    </xf>
    <xf numFmtId="166" fontId="3" fillId="14" borderId="33" xfId="1" applyNumberFormat="1" applyFont="1" applyFill="1" applyBorder="1" applyAlignment="1">
      <alignment horizontal="center" vertical="center"/>
    </xf>
    <xf numFmtId="165" fontId="3" fillId="2" borderId="34" xfId="2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16" borderId="12" xfId="0" applyFont="1" applyFill="1" applyBorder="1" applyAlignment="1">
      <alignment horizontal="center" wrapText="1"/>
    </xf>
    <xf numFmtId="165" fontId="19" fillId="16" borderId="36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8" fillId="0" borderId="2" xfId="0" applyFont="1" applyBorder="1" applyAlignment="1">
      <alignment horizontal="left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165" fontId="19" fillId="16" borderId="38" xfId="2" applyNumberFormat="1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0" fillId="15" borderId="2" xfId="0" applyFont="1" applyFill="1" applyBorder="1" applyAlignment="1">
      <alignment horizontal="center" wrapText="1"/>
    </xf>
    <xf numFmtId="0" fontId="0" fillId="15" borderId="7" xfId="0" applyFill="1" applyBorder="1" applyAlignment="1">
      <alignment horizontal="center" wrapText="1"/>
    </xf>
    <xf numFmtId="0" fontId="0" fillId="15" borderId="1" xfId="0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asi.is/default.asp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asi.is/default.asp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9</xdr:row>
      <xdr:rowOff>19050</xdr:rowOff>
    </xdr:from>
    <xdr:to>
      <xdr:col>1</xdr:col>
      <xdr:colOff>0</xdr:colOff>
      <xdr:row>10</xdr:row>
      <xdr:rowOff>9525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4400550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904875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" name="Picture 1" descr="asi_r1_c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04875" y="19050"/>
          <a:ext cx="685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2247900</xdr:colOff>
      <xdr:row>14</xdr:row>
      <xdr:rowOff>0</xdr:rowOff>
    </xdr:from>
    <xdr:to>
      <xdr:col>10</xdr:col>
      <xdr:colOff>0</xdr:colOff>
      <xdr:row>14</xdr:row>
      <xdr:rowOff>180975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28825" y="36671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1266825</xdr:colOff>
      <xdr:row>0</xdr:row>
      <xdr:rowOff>523875</xdr:rowOff>
    </xdr:to>
    <xdr:pic>
      <xdr:nvPicPr>
        <xdr:cNvPr id="4" name="Picture 1" descr="asi_r1_c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3875" y="0"/>
          <a:ext cx="7429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workbookViewId="0">
      <selection sqref="A1:E1048576"/>
    </sheetView>
  </sheetViews>
  <sheetFormatPr defaultRowHeight="15"/>
  <cols>
    <col min="1" max="1" width="31.42578125" customWidth="1"/>
    <col min="5" max="5" width="18" customWidth="1"/>
  </cols>
  <sheetData>
    <row r="1" spans="1:20" ht="105.75" customHeight="1" thickBot="1">
      <c r="A1" s="19" t="s">
        <v>0</v>
      </c>
      <c r="B1" s="26" t="s">
        <v>1</v>
      </c>
      <c r="C1" s="27" t="s">
        <v>2</v>
      </c>
      <c r="D1" s="28" t="s">
        <v>3</v>
      </c>
      <c r="E1" s="29" t="s">
        <v>4</v>
      </c>
      <c r="F1" s="30" t="s">
        <v>5</v>
      </c>
      <c r="G1" s="31" t="s">
        <v>6</v>
      </c>
      <c r="H1" s="25" t="s">
        <v>7</v>
      </c>
      <c r="I1" s="25" t="s">
        <v>8</v>
      </c>
      <c r="J1" s="26" t="s">
        <v>1</v>
      </c>
      <c r="K1" s="27" t="s">
        <v>2</v>
      </c>
      <c r="L1" s="28" t="s">
        <v>3</v>
      </c>
      <c r="M1" s="29" t="s">
        <v>4</v>
      </c>
      <c r="N1" s="32"/>
      <c r="O1" s="26" t="s">
        <v>1</v>
      </c>
      <c r="P1" s="27" t="s">
        <v>2</v>
      </c>
      <c r="Q1" s="28" t="s">
        <v>3</v>
      </c>
      <c r="R1" s="29" t="s">
        <v>4</v>
      </c>
      <c r="S1" s="32"/>
      <c r="T1" s="10"/>
    </row>
    <row r="2" spans="1:20" ht="15.75" thickBot="1">
      <c r="A2" s="8" t="s">
        <v>9</v>
      </c>
      <c r="B2" s="43"/>
      <c r="C2" s="23"/>
      <c r="D2" s="23"/>
      <c r="E2" s="44"/>
      <c r="F2" s="23"/>
      <c r="G2" s="33"/>
      <c r="H2" s="34"/>
      <c r="I2" s="35"/>
      <c r="J2" s="23"/>
      <c r="K2" s="33"/>
      <c r="L2" s="34"/>
      <c r="M2" s="35"/>
      <c r="N2" s="23"/>
      <c r="O2" s="33"/>
      <c r="P2" s="34"/>
      <c r="Q2" s="35"/>
      <c r="R2" s="23"/>
      <c r="S2" s="33"/>
      <c r="T2" s="10"/>
    </row>
    <row r="3" spans="1:20">
      <c r="A3" s="11" t="s">
        <v>10</v>
      </c>
      <c r="B3" s="63">
        <v>259</v>
      </c>
      <c r="C3" s="12">
        <v>260</v>
      </c>
      <c r="D3" s="60">
        <v>267</v>
      </c>
      <c r="E3" s="58">
        <v>265</v>
      </c>
      <c r="F3" s="18">
        <v>262.75</v>
      </c>
      <c r="G3" s="16">
        <v>267</v>
      </c>
      <c r="H3" s="15">
        <v>259</v>
      </c>
      <c r="I3" s="24">
        <v>3.0888030888030889E-2</v>
      </c>
      <c r="J3" s="53">
        <v>1</v>
      </c>
      <c r="K3" s="39"/>
      <c r="L3" s="39"/>
      <c r="M3" s="39"/>
      <c r="N3" s="39"/>
      <c r="O3" s="39"/>
      <c r="P3" s="39"/>
      <c r="Q3" s="39">
        <v>1</v>
      </c>
      <c r="R3" s="39"/>
      <c r="S3" s="40"/>
      <c r="T3" s="10"/>
    </row>
    <row r="4" spans="1:20" ht="30">
      <c r="A4" s="11" t="s">
        <v>11</v>
      </c>
      <c r="B4" s="63">
        <v>1190</v>
      </c>
      <c r="C4" s="63">
        <v>1190</v>
      </c>
      <c r="D4" s="60">
        <v>1253</v>
      </c>
      <c r="E4" s="61">
        <v>1253</v>
      </c>
      <c r="F4" s="18">
        <v>1221.5</v>
      </c>
      <c r="G4" s="16">
        <v>1253</v>
      </c>
      <c r="H4" s="15">
        <v>1190</v>
      </c>
      <c r="I4" s="24">
        <v>5.2941176470588235E-2</v>
      </c>
      <c r="J4" s="54">
        <v>1</v>
      </c>
      <c r="K4" s="9">
        <v>1</v>
      </c>
      <c r="L4" s="9"/>
      <c r="M4" s="9"/>
      <c r="N4" s="9"/>
      <c r="O4" s="9"/>
      <c r="P4" s="9"/>
      <c r="Q4" s="9">
        <v>1</v>
      </c>
      <c r="R4" s="9">
        <v>1</v>
      </c>
      <c r="S4" s="42"/>
      <c r="T4" s="10"/>
    </row>
    <row r="5" spans="1:20">
      <c r="A5" s="11" t="s">
        <v>12</v>
      </c>
      <c r="B5" s="12" t="s">
        <v>13</v>
      </c>
      <c r="C5" s="60">
        <v>369</v>
      </c>
      <c r="D5" s="63">
        <v>365</v>
      </c>
      <c r="E5" s="58">
        <v>366</v>
      </c>
      <c r="F5" s="18">
        <v>366.66666666666669</v>
      </c>
      <c r="G5" s="16">
        <v>369</v>
      </c>
      <c r="H5" s="15">
        <v>365</v>
      </c>
      <c r="I5" s="24">
        <v>1.0958904109589041E-2</v>
      </c>
      <c r="J5" s="54"/>
      <c r="K5" s="9"/>
      <c r="L5" s="9">
        <v>1</v>
      </c>
      <c r="M5" s="9"/>
      <c r="N5" s="9"/>
      <c r="O5" s="9"/>
      <c r="P5" s="9">
        <v>1</v>
      </c>
      <c r="Q5" s="9"/>
      <c r="R5" s="9"/>
      <c r="S5" s="42"/>
      <c r="T5" s="10"/>
    </row>
    <row r="6" spans="1:20">
      <c r="A6" s="11" t="s">
        <v>14</v>
      </c>
      <c r="B6" s="63">
        <v>94</v>
      </c>
      <c r="C6" s="60">
        <v>98</v>
      </c>
      <c r="D6" s="12">
        <v>96</v>
      </c>
      <c r="E6" s="58">
        <v>95</v>
      </c>
      <c r="F6" s="18">
        <v>95.75</v>
      </c>
      <c r="G6" s="16">
        <v>98</v>
      </c>
      <c r="H6" s="15">
        <v>94</v>
      </c>
      <c r="I6" s="24">
        <v>4.2553191489361701E-2</v>
      </c>
      <c r="J6" s="54">
        <v>1</v>
      </c>
      <c r="K6" s="9"/>
      <c r="L6" s="9"/>
      <c r="M6" s="9"/>
      <c r="N6" s="9"/>
      <c r="O6" s="9"/>
      <c r="P6" s="9">
        <v>1</v>
      </c>
      <c r="Q6" s="9"/>
      <c r="R6" s="9"/>
      <c r="S6" s="42"/>
      <c r="T6" s="10"/>
    </row>
    <row r="7" spans="1:20">
      <c r="A7" s="11" t="s">
        <v>15</v>
      </c>
      <c r="B7" s="63">
        <v>203</v>
      </c>
      <c r="C7" s="12">
        <v>204</v>
      </c>
      <c r="D7" s="60">
        <v>219</v>
      </c>
      <c r="E7" s="58">
        <v>208</v>
      </c>
      <c r="F7" s="18">
        <v>208.5</v>
      </c>
      <c r="G7" s="16">
        <v>219</v>
      </c>
      <c r="H7" s="15">
        <v>203</v>
      </c>
      <c r="I7" s="24">
        <v>7.8817733990147784E-2</v>
      </c>
      <c r="J7" s="54">
        <v>1</v>
      </c>
      <c r="K7" s="9"/>
      <c r="L7" s="9"/>
      <c r="M7" s="9"/>
      <c r="N7" s="9"/>
      <c r="O7" s="9"/>
      <c r="P7" s="9"/>
      <c r="Q7" s="9">
        <v>1</v>
      </c>
      <c r="R7" s="9"/>
      <c r="S7" s="42"/>
      <c r="T7" s="10"/>
    </row>
    <row r="8" spans="1:20">
      <c r="A8" s="11" t="s">
        <v>16</v>
      </c>
      <c r="B8" s="12">
        <v>295</v>
      </c>
      <c r="C8" s="12" t="s">
        <v>17</v>
      </c>
      <c r="D8" s="63">
        <v>291</v>
      </c>
      <c r="E8" s="61">
        <v>298</v>
      </c>
      <c r="F8" s="18">
        <v>294.66666666666669</v>
      </c>
      <c r="G8" s="16">
        <v>298</v>
      </c>
      <c r="H8" s="15">
        <v>291</v>
      </c>
      <c r="I8" s="24">
        <v>2.4054982817869417E-2</v>
      </c>
      <c r="J8" s="54"/>
      <c r="K8" s="9"/>
      <c r="L8" s="9">
        <v>1</v>
      </c>
      <c r="M8" s="9"/>
      <c r="N8" s="9"/>
      <c r="O8" s="9"/>
      <c r="P8" s="9"/>
      <c r="Q8" s="9"/>
      <c r="R8" s="9">
        <v>1</v>
      </c>
      <c r="S8" s="42"/>
      <c r="T8" s="10"/>
    </row>
    <row r="9" spans="1:20">
      <c r="A9" s="11" t="s">
        <v>18</v>
      </c>
      <c r="B9" s="63">
        <v>146</v>
      </c>
      <c r="C9" s="12">
        <v>147</v>
      </c>
      <c r="D9" s="60">
        <v>148</v>
      </c>
      <c r="E9" s="61">
        <v>148</v>
      </c>
      <c r="F9" s="18">
        <v>147.25</v>
      </c>
      <c r="G9" s="16">
        <v>148</v>
      </c>
      <c r="H9" s="15">
        <v>146</v>
      </c>
      <c r="I9" s="24">
        <v>1.3698630136986301E-2</v>
      </c>
      <c r="J9" s="54">
        <v>1</v>
      </c>
      <c r="K9" s="9"/>
      <c r="L9" s="9"/>
      <c r="M9" s="9"/>
      <c r="N9" s="9"/>
      <c r="O9" s="9"/>
      <c r="P9" s="9"/>
      <c r="Q9" s="9">
        <v>1</v>
      </c>
      <c r="R9" s="9">
        <v>1</v>
      </c>
      <c r="S9" s="42"/>
      <c r="T9" s="10"/>
    </row>
    <row r="10" spans="1:20">
      <c r="A10" s="11" t="s">
        <v>19</v>
      </c>
      <c r="B10" s="63">
        <v>195</v>
      </c>
      <c r="C10" s="12">
        <v>196</v>
      </c>
      <c r="D10" s="60">
        <v>199</v>
      </c>
      <c r="E10" s="58">
        <v>198</v>
      </c>
      <c r="F10" s="18">
        <v>197</v>
      </c>
      <c r="G10" s="16">
        <v>199</v>
      </c>
      <c r="H10" s="15">
        <v>195</v>
      </c>
      <c r="I10" s="24">
        <v>2.0512820512820513E-2</v>
      </c>
      <c r="J10" s="54">
        <v>1</v>
      </c>
      <c r="K10" s="9"/>
      <c r="L10" s="9"/>
      <c r="M10" s="9"/>
      <c r="N10" s="9"/>
      <c r="O10" s="9"/>
      <c r="P10" s="9"/>
      <c r="Q10" s="9">
        <v>1</v>
      </c>
      <c r="R10" s="9"/>
      <c r="S10" s="42"/>
      <c r="T10" s="10"/>
    </row>
    <row r="11" spans="1:20">
      <c r="A11" s="11" t="s">
        <v>20</v>
      </c>
      <c r="B11" s="12">
        <v>196</v>
      </c>
      <c r="C11" s="63">
        <v>191</v>
      </c>
      <c r="D11" s="60">
        <v>197</v>
      </c>
      <c r="E11" s="58">
        <v>196</v>
      </c>
      <c r="F11" s="18">
        <v>195</v>
      </c>
      <c r="G11" s="16">
        <v>197</v>
      </c>
      <c r="H11" s="15">
        <v>191</v>
      </c>
      <c r="I11" s="24">
        <v>3.1413612565445025E-2</v>
      </c>
      <c r="J11" s="54"/>
      <c r="K11" s="9">
        <v>1</v>
      </c>
      <c r="L11" s="9"/>
      <c r="M11" s="9"/>
      <c r="N11" s="9"/>
      <c r="O11" s="9"/>
      <c r="P11" s="9"/>
      <c r="Q11" s="9">
        <v>1</v>
      </c>
      <c r="R11" s="9"/>
      <c r="S11" s="42"/>
      <c r="T11" s="10"/>
    </row>
    <row r="12" spans="1:20">
      <c r="A12" s="11" t="s">
        <v>21</v>
      </c>
      <c r="B12" s="63">
        <v>190</v>
      </c>
      <c r="C12" s="12">
        <v>191</v>
      </c>
      <c r="D12" s="62">
        <v>198</v>
      </c>
      <c r="E12" s="58">
        <v>197</v>
      </c>
      <c r="F12" s="18">
        <v>194</v>
      </c>
      <c r="G12" s="16">
        <v>198</v>
      </c>
      <c r="H12" s="15">
        <v>190</v>
      </c>
      <c r="I12" s="24">
        <v>4.2105263157894736E-2</v>
      </c>
      <c r="J12" s="54">
        <v>1</v>
      </c>
      <c r="K12" s="9"/>
      <c r="L12" s="9"/>
      <c r="M12" s="9"/>
      <c r="N12" s="9"/>
      <c r="O12" s="9"/>
      <c r="P12" s="9"/>
      <c r="Q12" s="9">
        <v>1</v>
      </c>
      <c r="R12" s="9"/>
      <c r="S12" s="42"/>
      <c r="T12" s="10"/>
    </row>
    <row r="13" spans="1:20">
      <c r="A13" s="11" t="s">
        <v>22</v>
      </c>
      <c r="B13" s="63">
        <v>74</v>
      </c>
      <c r="C13" s="12">
        <v>75</v>
      </c>
      <c r="D13" s="12">
        <v>98</v>
      </c>
      <c r="E13" s="71">
        <v>103</v>
      </c>
      <c r="F13" s="18">
        <v>87.5</v>
      </c>
      <c r="G13" s="16">
        <v>103</v>
      </c>
      <c r="H13" s="15">
        <v>74</v>
      </c>
      <c r="I13" s="24">
        <v>0.39189189189189189</v>
      </c>
      <c r="J13" s="54">
        <v>1</v>
      </c>
      <c r="K13" s="9"/>
      <c r="L13" s="9"/>
      <c r="M13" s="9"/>
      <c r="N13" s="9"/>
      <c r="O13" s="9"/>
      <c r="P13" s="9"/>
      <c r="Q13" s="9"/>
      <c r="R13" s="9">
        <v>1</v>
      </c>
      <c r="S13" s="42"/>
      <c r="T13" s="10"/>
    </row>
    <row r="14" spans="1:20">
      <c r="A14" s="11" t="s">
        <v>23</v>
      </c>
      <c r="B14" s="63">
        <v>137</v>
      </c>
      <c r="C14" s="12">
        <v>138</v>
      </c>
      <c r="D14" s="60">
        <v>141</v>
      </c>
      <c r="E14" s="58">
        <v>139</v>
      </c>
      <c r="F14" s="18">
        <v>138.75</v>
      </c>
      <c r="G14" s="16">
        <v>141</v>
      </c>
      <c r="H14" s="15">
        <v>137</v>
      </c>
      <c r="I14" s="24">
        <v>2.9197080291970802E-2</v>
      </c>
      <c r="J14" s="50">
        <v>1</v>
      </c>
      <c r="K14" s="12"/>
      <c r="L14" s="12"/>
      <c r="M14" s="12"/>
      <c r="N14" s="12"/>
      <c r="O14" s="12"/>
      <c r="P14" s="12"/>
      <c r="Q14" s="9">
        <v>1</v>
      </c>
      <c r="R14" s="12"/>
      <c r="S14" s="51"/>
      <c r="T14" s="10"/>
    </row>
    <row r="15" spans="1:20" ht="29.25" thickBot="1">
      <c r="A15" s="11" t="s">
        <v>24</v>
      </c>
      <c r="B15" s="60">
        <v>107</v>
      </c>
      <c r="C15" s="63">
        <v>102</v>
      </c>
      <c r="D15" s="12">
        <v>103</v>
      </c>
      <c r="E15" s="58">
        <v>102</v>
      </c>
      <c r="F15" s="18">
        <v>103.5</v>
      </c>
      <c r="G15" s="16">
        <v>107</v>
      </c>
      <c r="H15" s="15">
        <v>102</v>
      </c>
      <c r="I15" s="24">
        <v>4.9019607843137254E-2</v>
      </c>
      <c r="J15" s="54"/>
      <c r="K15" s="9">
        <v>1</v>
      </c>
      <c r="L15" s="9"/>
      <c r="M15" s="9"/>
      <c r="N15" s="9"/>
      <c r="O15" s="9">
        <v>1</v>
      </c>
      <c r="P15" s="9"/>
      <c r="Q15" s="9"/>
      <c r="R15" s="9"/>
      <c r="S15" s="42"/>
      <c r="T15" s="10">
        <v>13</v>
      </c>
    </row>
    <row r="16" spans="1:20" ht="15.75" thickBot="1">
      <c r="A16" s="8" t="s">
        <v>25</v>
      </c>
      <c r="B16" s="45"/>
      <c r="C16" s="46"/>
      <c r="D16" s="46"/>
      <c r="E16" s="46"/>
      <c r="F16" s="46"/>
      <c r="G16" s="46"/>
      <c r="H16" s="46"/>
      <c r="I16" s="46"/>
      <c r="J16" s="46"/>
      <c r="K16" s="47"/>
      <c r="L16" s="48"/>
      <c r="M16" s="47"/>
      <c r="N16" s="46"/>
      <c r="O16" s="47"/>
      <c r="P16" s="48"/>
      <c r="Q16" s="47"/>
      <c r="R16" s="46"/>
      <c r="S16" s="49"/>
      <c r="T16" s="10"/>
    </row>
    <row r="17" spans="1:20" ht="28.5">
      <c r="A17" s="11" t="s">
        <v>26</v>
      </c>
      <c r="B17" s="60">
        <v>628</v>
      </c>
      <c r="C17" s="12">
        <v>569</v>
      </c>
      <c r="D17" s="63">
        <v>407</v>
      </c>
      <c r="E17" s="58">
        <v>595</v>
      </c>
      <c r="F17" s="18">
        <v>549.75</v>
      </c>
      <c r="G17" s="16">
        <v>628</v>
      </c>
      <c r="H17" s="15">
        <v>407</v>
      </c>
      <c r="I17" s="24">
        <v>0.54299754299754299</v>
      </c>
      <c r="J17" s="55"/>
      <c r="K17" s="38"/>
      <c r="L17" s="38">
        <v>1</v>
      </c>
      <c r="M17" s="38"/>
      <c r="N17" s="38"/>
      <c r="O17" s="38">
        <v>1</v>
      </c>
      <c r="P17" s="38"/>
      <c r="Q17" s="38"/>
      <c r="R17" s="38"/>
      <c r="S17" s="56"/>
      <c r="T17" s="10"/>
    </row>
    <row r="18" spans="1:20" ht="28.5">
      <c r="A18" s="11" t="s">
        <v>27</v>
      </c>
      <c r="B18" s="63">
        <v>538</v>
      </c>
      <c r="C18" s="60">
        <v>759</v>
      </c>
      <c r="D18" s="12" t="s">
        <v>13</v>
      </c>
      <c r="E18" s="58" t="s">
        <v>13</v>
      </c>
      <c r="F18" s="18">
        <v>648.5</v>
      </c>
      <c r="G18" s="16">
        <v>759</v>
      </c>
      <c r="H18" s="15">
        <v>538</v>
      </c>
      <c r="I18" s="24">
        <v>0.4107806691449814</v>
      </c>
      <c r="J18" s="54">
        <v>1</v>
      </c>
      <c r="K18" s="9"/>
      <c r="L18" s="9"/>
      <c r="M18" s="9"/>
      <c r="N18" s="9"/>
      <c r="O18" s="9"/>
      <c r="P18" s="9">
        <v>1</v>
      </c>
      <c r="Q18" s="9"/>
      <c r="R18" s="9"/>
      <c r="S18" s="42"/>
      <c r="T18" s="10"/>
    </row>
    <row r="19" spans="1:20">
      <c r="A19" s="11" t="s">
        <v>28</v>
      </c>
      <c r="B19" s="12">
        <v>1071</v>
      </c>
      <c r="C19" s="12">
        <v>898</v>
      </c>
      <c r="D19" s="63">
        <v>713</v>
      </c>
      <c r="E19" s="61">
        <v>1189</v>
      </c>
      <c r="F19" s="18">
        <v>967.75</v>
      </c>
      <c r="G19" s="16">
        <v>1189</v>
      </c>
      <c r="H19" s="15">
        <v>713</v>
      </c>
      <c r="I19" s="24">
        <v>0.667601683029453</v>
      </c>
      <c r="J19" s="54"/>
      <c r="K19" s="9"/>
      <c r="L19" s="9">
        <v>1</v>
      </c>
      <c r="M19" s="9"/>
      <c r="N19" s="9"/>
      <c r="O19" s="9"/>
      <c r="P19" s="9"/>
      <c r="Q19" s="9"/>
      <c r="R19" s="9">
        <v>1</v>
      </c>
      <c r="S19" s="42"/>
      <c r="T19" s="10"/>
    </row>
    <row r="20" spans="1:20">
      <c r="A20" s="11" t="s">
        <v>29</v>
      </c>
      <c r="B20" s="17">
        <v>898</v>
      </c>
      <c r="C20" s="64">
        <v>839</v>
      </c>
      <c r="D20" s="60">
        <v>1528</v>
      </c>
      <c r="E20" s="58" t="s">
        <v>13</v>
      </c>
      <c r="F20" s="18">
        <v>1088.3333333333333</v>
      </c>
      <c r="G20" s="16">
        <v>1528</v>
      </c>
      <c r="H20" s="15">
        <v>839</v>
      </c>
      <c r="I20" s="24">
        <v>0.82121573301549466</v>
      </c>
      <c r="J20" s="20"/>
      <c r="K20" s="14">
        <v>1</v>
      </c>
      <c r="L20" s="9"/>
      <c r="M20" s="9"/>
      <c r="N20" s="9"/>
      <c r="O20" s="9"/>
      <c r="P20" s="9"/>
      <c r="Q20" s="9">
        <v>1</v>
      </c>
      <c r="R20" s="9"/>
      <c r="S20" s="42"/>
      <c r="T20" s="10"/>
    </row>
    <row r="21" spans="1:20">
      <c r="A21" s="11" t="s">
        <v>30</v>
      </c>
      <c r="B21" s="63">
        <v>1260</v>
      </c>
      <c r="C21" s="63">
        <v>1260</v>
      </c>
      <c r="D21" s="60">
        <v>1400</v>
      </c>
      <c r="E21" s="61">
        <v>1400</v>
      </c>
      <c r="F21" s="18">
        <v>1330</v>
      </c>
      <c r="G21" s="16">
        <v>1400</v>
      </c>
      <c r="H21" s="15">
        <v>1260</v>
      </c>
      <c r="I21" s="24">
        <v>0.1111111111111111</v>
      </c>
      <c r="J21" s="20">
        <v>1</v>
      </c>
      <c r="K21" s="14">
        <v>1</v>
      </c>
      <c r="L21" s="9"/>
      <c r="M21" s="9"/>
      <c r="N21" s="9"/>
      <c r="O21" s="9">
        <v>1</v>
      </c>
      <c r="P21" s="9"/>
      <c r="Q21" s="9">
        <v>1</v>
      </c>
      <c r="R21" s="9">
        <v>1</v>
      </c>
      <c r="S21" s="42"/>
      <c r="T21" s="10"/>
    </row>
    <row r="22" spans="1:20" ht="15.75" thickBot="1">
      <c r="A22" s="11" t="s">
        <v>31</v>
      </c>
      <c r="B22" s="63">
        <v>204</v>
      </c>
      <c r="C22" s="13">
        <v>225</v>
      </c>
      <c r="D22" s="66">
        <v>324</v>
      </c>
      <c r="E22" s="58" t="s">
        <v>17</v>
      </c>
      <c r="F22" s="18">
        <v>251</v>
      </c>
      <c r="G22" s="16">
        <v>324</v>
      </c>
      <c r="H22" s="15">
        <v>204</v>
      </c>
      <c r="I22" s="24">
        <v>0.58823529411764708</v>
      </c>
      <c r="J22" s="54">
        <v>1</v>
      </c>
      <c r="K22" s="9"/>
      <c r="L22" s="9"/>
      <c r="M22" s="9"/>
      <c r="N22" s="9"/>
      <c r="O22" s="9"/>
      <c r="P22" s="9"/>
      <c r="Q22" s="9">
        <v>1</v>
      </c>
      <c r="R22" s="9"/>
      <c r="S22" s="42"/>
      <c r="T22" s="17">
        <v>6</v>
      </c>
    </row>
    <row r="23" spans="1:20" ht="15.75" thickBot="1">
      <c r="A23" s="8" t="s">
        <v>32</v>
      </c>
      <c r="B23" s="45"/>
      <c r="C23" s="46"/>
      <c r="D23" s="46"/>
      <c r="E23" s="46"/>
      <c r="F23" s="46"/>
      <c r="G23" s="46"/>
      <c r="H23" s="46"/>
      <c r="I23" s="46"/>
      <c r="J23" s="46"/>
      <c r="K23" s="47"/>
      <c r="L23" s="48"/>
      <c r="M23" s="47"/>
      <c r="N23" s="46"/>
      <c r="O23" s="47"/>
      <c r="P23" s="48"/>
      <c r="Q23" s="47"/>
      <c r="R23" s="46"/>
      <c r="S23" s="49"/>
      <c r="T23" s="10"/>
    </row>
    <row r="24" spans="1:20">
      <c r="A24" s="11" t="s">
        <v>33</v>
      </c>
      <c r="B24" s="63">
        <v>158</v>
      </c>
      <c r="C24" s="12">
        <v>238</v>
      </c>
      <c r="D24" s="66">
        <v>249</v>
      </c>
      <c r="E24" s="58">
        <v>197</v>
      </c>
      <c r="F24" s="18">
        <v>210.5</v>
      </c>
      <c r="G24" s="16">
        <v>249</v>
      </c>
      <c r="H24" s="15">
        <v>158</v>
      </c>
      <c r="I24" s="24">
        <v>0.57594936708860756</v>
      </c>
      <c r="J24" s="9">
        <v>1</v>
      </c>
      <c r="K24" s="9"/>
      <c r="L24" s="9"/>
      <c r="M24" s="9"/>
      <c r="N24" s="9"/>
      <c r="O24" s="9"/>
      <c r="P24" s="9"/>
      <c r="Q24" s="9">
        <v>1</v>
      </c>
      <c r="R24" s="9"/>
      <c r="S24" s="9"/>
      <c r="T24" s="10"/>
    </row>
    <row r="25" spans="1:20">
      <c r="A25" s="11" t="s">
        <v>34</v>
      </c>
      <c r="B25" s="63">
        <v>296</v>
      </c>
      <c r="C25" s="12">
        <v>297</v>
      </c>
      <c r="D25" s="12">
        <v>349</v>
      </c>
      <c r="E25" s="67">
        <v>379</v>
      </c>
      <c r="F25" s="18">
        <v>330.25</v>
      </c>
      <c r="G25" s="16">
        <v>379</v>
      </c>
      <c r="H25" s="15">
        <v>296</v>
      </c>
      <c r="I25" s="24">
        <v>0.28040540540540543</v>
      </c>
      <c r="J25" s="9">
        <v>1</v>
      </c>
      <c r="K25" s="9"/>
      <c r="L25" s="9"/>
      <c r="M25" s="9"/>
      <c r="N25" s="9"/>
      <c r="O25" s="9"/>
      <c r="P25" s="9"/>
      <c r="Q25" s="9"/>
      <c r="R25" s="9">
        <v>1</v>
      </c>
      <c r="S25" s="9"/>
      <c r="T25" s="10"/>
    </row>
    <row r="26" spans="1:20">
      <c r="A26" s="11" t="s">
        <v>35</v>
      </c>
      <c r="B26" s="63">
        <v>237</v>
      </c>
      <c r="C26" s="12">
        <v>238</v>
      </c>
      <c r="D26" s="12">
        <v>249</v>
      </c>
      <c r="E26" s="67">
        <v>267</v>
      </c>
      <c r="F26" s="18">
        <v>247.75</v>
      </c>
      <c r="G26" s="16">
        <v>267</v>
      </c>
      <c r="H26" s="15">
        <v>237</v>
      </c>
      <c r="I26" s="24">
        <v>0.12658227848101267</v>
      </c>
      <c r="J26" s="9">
        <v>1</v>
      </c>
      <c r="K26" s="9"/>
      <c r="L26" s="9"/>
      <c r="M26" s="9"/>
      <c r="N26" s="9"/>
      <c r="O26" s="9"/>
      <c r="P26" s="9"/>
      <c r="Q26" s="9"/>
      <c r="R26" s="9">
        <v>1</v>
      </c>
      <c r="S26" s="9"/>
      <c r="T26" s="10"/>
    </row>
    <row r="27" spans="1:20">
      <c r="A27" s="11" t="s">
        <v>36</v>
      </c>
      <c r="B27" s="63">
        <v>695</v>
      </c>
      <c r="C27" s="66">
        <v>697</v>
      </c>
      <c r="D27" s="12" t="s">
        <v>13</v>
      </c>
      <c r="E27" s="58" t="s">
        <v>17</v>
      </c>
      <c r="F27" s="18">
        <v>696</v>
      </c>
      <c r="G27" s="16">
        <v>697</v>
      </c>
      <c r="H27" s="15">
        <v>695</v>
      </c>
      <c r="I27" s="24">
        <v>2.8776978417266188E-3</v>
      </c>
      <c r="J27" s="9">
        <v>1</v>
      </c>
      <c r="K27" s="9"/>
      <c r="L27" s="9"/>
      <c r="M27" s="9"/>
      <c r="N27" s="9"/>
      <c r="O27" s="9"/>
      <c r="P27" s="9">
        <v>1</v>
      </c>
      <c r="Q27" s="9"/>
      <c r="R27" s="9"/>
      <c r="S27" s="9"/>
      <c r="T27" s="10"/>
    </row>
    <row r="28" spans="1:20">
      <c r="A28" s="11" t="s">
        <v>37</v>
      </c>
      <c r="B28" s="12" t="s">
        <v>13</v>
      </c>
      <c r="C28" s="66">
        <v>166</v>
      </c>
      <c r="D28" s="12">
        <v>129</v>
      </c>
      <c r="E28" s="65">
        <v>119</v>
      </c>
      <c r="F28" s="18">
        <v>138</v>
      </c>
      <c r="G28" s="16">
        <v>166</v>
      </c>
      <c r="H28" s="15">
        <v>119</v>
      </c>
      <c r="I28" s="24">
        <v>0.3949579831932773</v>
      </c>
      <c r="J28" s="9"/>
      <c r="K28" s="9"/>
      <c r="L28" s="9"/>
      <c r="M28" s="9">
        <v>1</v>
      </c>
      <c r="N28" s="9"/>
      <c r="O28" s="9"/>
      <c r="P28" s="9">
        <v>1</v>
      </c>
      <c r="Q28" s="9"/>
      <c r="R28" s="9"/>
      <c r="S28" s="9"/>
      <c r="T28" s="10"/>
    </row>
    <row r="29" spans="1:20" ht="28.5">
      <c r="A29" s="11" t="s">
        <v>38</v>
      </c>
      <c r="B29" s="63">
        <v>325</v>
      </c>
      <c r="C29" s="12">
        <v>326</v>
      </c>
      <c r="D29" s="12">
        <v>299</v>
      </c>
      <c r="E29" s="67">
        <v>397</v>
      </c>
      <c r="F29" s="18">
        <v>336.75</v>
      </c>
      <c r="G29" s="16">
        <v>397</v>
      </c>
      <c r="H29" s="15">
        <v>299</v>
      </c>
      <c r="I29" s="24">
        <v>0.32775919732441472</v>
      </c>
      <c r="J29" s="14">
        <v>1</v>
      </c>
      <c r="K29" s="14"/>
      <c r="L29" s="9"/>
      <c r="M29" s="9"/>
      <c r="N29" s="9"/>
      <c r="O29" s="9"/>
      <c r="P29" s="9"/>
      <c r="Q29" s="9"/>
      <c r="R29" s="9">
        <v>1</v>
      </c>
      <c r="S29" s="9"/>
      <c r="T29" s="10"/>
    </row>
    <row r="30" spans="1:20">
      <c r="A30" s="11" t="s">
        <v>39</v>
      </c>
      <c r="B30" s="12">
        <v>358</v>
      </c>
      <c r="C30" s="66">
        <v>399</v>
      </c>
      <c r="D30" s="63">
        <v>199</v>
      </c>
      <c r="E30" s="58">
        <v>397</v>
      </c>
      <c r="F30" s="18">
        <v>338.25</v>
      </c>
      <c r="G30" s="16">
        <v>399</v>
      </c>
      <c r="H30" s="15">
        <v>199</v>
      </c>
      <c r="I30" s="24">
        <v>1.0050251256281406</v>
      </c>
      <c r="J30" s="9"/>
      <c r="K30" s="9"/>
      <c r="L30" s="9">
        <v>1</v>
      </c>
      <c r="M30" s="9"/>
      <c r="N30" s="9"/>
      <c r="O30" s="9"/>
      <c r="P30" s="9">
        <v>1</v>
      </c>
      <c r="Q30" s="9"/>
      <c r="R30" s="9"/>
      <c r="S30" s="9"/>
      <c r="T30" s="10"/>
    </row>
    <row r="31" spans="1:20">
      <c r="A31" s="11" t="s">
        <v>40</v>
      </c>
      <c r="B31" s="12">
        <v>476</v>
      </c>
      <c r="C31" s="12">
        <v>477</v>
      </c>
      <c r="D31" s="66">
        <v>479</v>
      </c>
      <c r="E31" s="65">
        <v>457</v>
      </c>
      <c r="F31" s="18">
        <v>472.25</v>
      </c>
      <c r="G31" s="16">
        <v>479</v>
      </c>
      <c r="H31" s="15">
        <v>457</v>
      </c>
      <c r="I31" s="24">
        <v>4.8140043763676151E-2</v>
      </c>
      <c r="J31" s="9"/>
      <c r="K31" s="9"/>
      <c r="L31" s="9"/>
      <c r="M31" s="9">
        <v>1</v>
      </c>
      <c r="N31" s="9"/>
      <c r="O31" s="9"/>
      <c r="P31" s="9"/>
      <c r="Q31" s="9">
        <v>1</v>
      </c>
      <c r="R31" s="9"/>
      <c r="S31" s="9"/>
      <c r="T31" s="10"/>
    </row>
    <row r="32" spans="1:20">
      <c r="A32" s="11" t="s">
        <v>41</v>
      </c>
      <c r="B32" s="63">
        <v>477</v>
      </c>
      <c r="C32" s="12">
        <v>478</v>
      </c>
      <c r="D32" s="66">
        <v>499</v>
      </c>
      <c r="E32" s="58">
        <v>497</v>
      </c>
      <c r="F32" s="18">
        <v>487.75</v>
      </c>
      <c r="G32" s="16">
        <v>499</v>
      </c>
      <c r="H32" s="15">
        <v>477</v>
      </c>
      <c r="I32" s="24">
        <v>4.6121593291404611E-2</v>
      </c>
      <c r="J32" s="9">
        <v>1</v>
      </c>
      <c r="K32" s="9"/>
      <c r="L32" s="9"/>
      <c r="M32" s="9"/>
      <c r="N32" s="9"/>
      <c r="O32" s="9"/>
      <c r="P32" s="9"/>
      <c r="Q32" s="9">
        <v>1</v>
      </c>
      <c r="R32" s="9"/>
      <c r="S32" s="9"/>
      <c r="T32" s="10"/>
    </row>
    <row r="33" spans="1:20">
      <c r="A33" s="11" t="s">
        <v>42</v>
      </c>
      <c r="B33" s="12" t="s">
        <v>13</v>
      </c>
      <c r="C33" s="12" t="s">
        <v>43</v>
      </c>
      <c r="D33" s="63">
        <v>1897</v>
      </c>
      <c r="E33" s="65">
        <v>1897</v>
      </c>
      <c r="F33" s="18">
        <v>1897</v>
      </c>
      <c r="G33" s="16">
        <v>1897</v>
      </c>
      <c r="H33" s="15">
        <v>1897</v>
      </c>
      <c r="I33" s="24">
        <v>0</v>
      </c>
      <c r="J33" s="12"/>
      <c r="K33" s="12"/>
      <c r="L33" s="12">
        <v>1</v>
      </c>
      <c r="M33" s="12">
        <v>1</v>
      </c>
      <c r="N33" s="12"/>
      <c r="O33" s="12"/>
      <c r="P33" s="12"/>
      <c r="Q33" s="9"/>
      <c r="R33" s="12"/>
      <c r="S33" s="12"/>
      <c r="T33" s="10"/>
    </row>
    <row r="34" spans="1:20">
      <c r="A34" s="11" t="s">
        <v>44</v>
      </c>
      <c r="B34" s="63">
        <v>198</v>
      </c>
      <c r="C34" s="12">
        <v>299</v>
      </c>
      <c r="D34" s="66">
        <v>349</v>
      </c>
      <c r="E34" s="58">
        <v>347</v>
      </c>
      <c r="F34" s="18">
        <v>298.25</v>
      </c>
      <c r="G34" s="16">
        <v>349</v>
      </c>
      <c r="H34" s="15">
        <v>198</v>
      </c>
      <c r="I34" s="24">
        <v>0.76262626262626265</v>
      </c>
      <c r="J34" s="9">
        <v>1</v>
      </c>
      <c r="K34" s="9"/>
      <c r="L34" s="9"/>
      <c r="M34" s="9"/>
      <c r="N34" s="9"/>
      <c r="O34" s="9"/>
      <c r="P34" s="9"/>
      <c r="Q34" s="9">
        <v>1</v>
      </c>
      <c r="R34" s="9"/>
      <c r="S34" s="9"/>
      <c r="T34" s="10"/>
    </row>
    <row r="35" spans="1:20">
      <c r="A35" s="11" t="s">
        <v>45</v>
      </c>
      <c r="B35" s="63">
        <v>325</v>
      </c>
      <c r="C35" s="12">
        <v>326</v>
      </c>
      <c r="D35" s="66">
        <v>329</v>
      </c>
      <c r="E35" s="58" t="s">
        <v>17</v>
      </c>
      <c r="F35" s="18">
        <v>326.66666666666669</v>
      </c>
      <c r="G35" s="16">
        <v>329</v>
      </c>
      <c r="H35" s="15">
        <v>325</v>
      </c>
      <c r="I35" s="24">
        <v>1.2307692307692308E-2</v>
      </c>
      <c r="J35" s="9">
        <v>1</v>
      </c>
      <c r="K35" s="9"/>
      <c r="L35" s="9"/>
      <c r="M35" s="9"/>
      <c r="N35" s="9"/>
      <c r="O35" s="9"/>
      <c r="P35" s="9"/>
      <c r="Q35" s="9">
        <v>1</v>
      </c>
      <c r="R35" s="9"/>
      <c r="S35" s="9"/>
      <c r="T35" s="10"/>
    </row>
    <row r="36" spans="1:20" ht="15.75" thickBot="1">
      <c r="A36" s="11" t="s">
        <v>46</v>
      </c>
      <c r="B36" s="12">
        <v>6253</v>
      </c>
      <c r="C36" s="63">
        <v>3593</v>
      </c>
      <c r="D36" s="12" t="s">
        <v>13</v>
      </c>
      <c r="E36" s="61">
        <v>6627</v>
      </c>
      <c r="F36" s="18">
        <v>5491</v>
      </c>
      <c r="G36" s="16">
        <v>6627</v>
      </c>
      <c r="H36" s="15">
        <v>3593</v>
      </c>
      <c r="I36" s="24">
        <v>0.84441970498190921</v>
      </c>
      <c r="J36" s="9"/>
      <c r="K36" s="9">
        <v>1</v>
      </c>
      <c r="L36" s="9"/>
      <c r="M36" s="9"/>
      <c r="N36" s="9"/>
      <c r="O36" s="9"/>
      <c r="P36" s="9"/>
      <c r="Q36" s="9"/>
      <c r="R36" s="9">
        <v>1</v>
      </c>
      <c r="S36" s="9"/>
      <c r="T36" s="10">
        <v>13</v>
      </c>
    </row>
    <row r="37" spans="1:20" ht="15.75" thickBot="1">
      <c r="A37" s="8" t="s">
        <v>47</v>
      </c>
      <c r="B37" s="45"/>
      <c r="C37" s="46"/>
      <c r="D37" s="46"/>
      <c r="E37" s="46"/>
      <c r="F37" s="46"/>
      <c r="G37" s="46"/>
      <c r="H37" s="46"/>
      <c r="I37" s="46"/>
      <c r="J37" s="46"/>
      <c r="K37" s="47"/>
      <c r="L37" s="48"/>
      <c r="M37" s="47"/>
      <c r="N37" s="46"/>
      <c r="O37" s="47"/>
      <c r="P37" s="48"/>
      <c r="Q37" s="47"/>
      <c r="R37" s="46"/>
      <c r="S37" s="49"/>
      <c r="T37" s="10"/>
    </row>
    <row r="38" spans="1:20">
      <c r="A38" s="11" t="s">
        <v>48</v>
      </c>
      <c r="B38" s="12" t="s">
        <v>13</v>
      </c>
      <c r="C38" s="63">
        <v>254</v>
      </c>
      <c r="D38" s="60">
        <v>290</v>
      </c>
      <c r="E38" s="58">
        <v>280</v>
      </c>
      <c r="F38" s="18">
        <v>274.66666666666669</v>
      </c>
      <c r="G38" s="16">
        <v>290</v>
      </c>
      <c r="H38" s="15">
        <v>254</v>
      </c>
      <c r="I38" s="24">
        <v>0.14173228346456693</v>
      </c>
      <c r="J38" s="9"/>
      <c r="K38" s="9">
        <v>1</v>
      </c>
      <c r="L38" s="9"/>
      <c r="M38" s="9"/>
      <c r="N38" s="9"/>
      <c r="O38" s="9"/>
      <c r="P38" s="9"/>
      <c r="Q38" s="9">
        <v>1</v>
      </c>
      <c r="R38" s="9"/>
      <c r="S38" s="9"/>
      <c r="T38" s="10"/>
    </row>
    <row r="39" spans="1:20" ht="29.25">
      <c r="A39" s="11" t="s">
        <v>49</v>
      </c>
      <c r="B39" s="63">
        <v>169</v>
      </c>
      <c r="C39" s="12">
        <v>245</v>
      </c>
      <c r="D39" s="66">
        <v>310</v>
      </c>
      <c r="E39" s="58">
        <v>288</v>
      </c>
      <c r="F39" s="18">
        <v>253</v>
      </c>
      <c r="G39" s="16">
        <v>310</v>
      </c>
      <c r="H39" s="15">
        <v>169</v>
      </c>
      <c r="I39" s="24">
        <v>0.83431952662721898</v>
      </c>
      <c r="J39" s="14">
        <v>1</v>
      </c>
      <c r="K39" s="14"/>
      <c r="L39" s="9"/>
      <c r="M39" s="9"/>
      <c r="N39" s="9"/>
      <c r="O39" s="9"/>
      <c r="P39" s="9"/>
      <c r="Q39" s="9">
        <v>1</v>
      </c>
      <c r="R39" s="9"/>
      <c r="S39" s="9"/>
      <c r="T39" s="10"/>
    </row>
    <row r="40" spans="1:20" ht="28.5">
      <c r="A40" s="11" t="s">
        <v>50</v>
      </c>
      <c r="B40" s="63">
        <v>191</v>
      </c>
      <c r="C40" s="12">
        <v>192</v>
      </c>
      <c r="D40" s="66">
        <v>209</v>
      </c>
      <c r="E40" s="58">
        <v>208</v>
      </c>
      <c r="F40" s="18">
        <v>200</v>
      </c>
      <c r="G40" s="16">
        <v>209</v>
      </c>
      <c r="H40" s="15">
        <v>191</v>
      </c>
      <c r="I40" s="24">
        <v>9.4240837696335081E-2</v>
      </c>
      <c r="J40" s="9">
        <v>1</v>
      </c>
      <c r="K40" s="9"/>
      <c r="L40" s="9"/>
      <c r="M40" s="9"/>
      <c r="N40" s="9"/>
      <c r="O40" s="9"/>
      <c r="P40" s="9"/>
      <c r="Q40" s="9">
        <v>1</v>
      </c>
      <c r="R40" s="9"/>
      <c r="S40" s="9"/>
      <c r="T40" s="10"/>
    </row>
    <row r="41" spans="1:20" ht="28.5">
      <c r="A41" s="11" t="s">
        <v>51</v>
      </c>
      <c r="B41" s="63">
        <v>123</v>
      </c>
      <c r="C41" s="12">
        <v>124</v>
      </c>
      <c r="D41" s="66">
        <v>139</v>
      </c>
      <c r="E41" s="58">
        <v>129</v>
      </c>
      <c r="F41" s="18">
        <v>128.75</v>
      </c>
      <c r="G41" s="16">
        <v>139</v>
      </c>
      <c r="H41" s="15">
        <v>123</v>
      </c>
      <c r="I41" s="24">
        <v>0.13008130081300814</v>
      </c>
      <c r="J41" s="12">
        <v>1</v>
      </c>
      <c r="K41" s="12"/>
      <c r="L41" s="12"/>
      <c r="M41" s="12"/>
      <c r="N41" s="12"/>
      <c r="O41" s="12"/>
      <c r="P41" s="12"/>
      <c r="Q41" s="9">
        <v>1</v>
      </c>
      <c r="R41" s="12"/>
      <c r="S41" s="12"/>
      <c r="T41" s="10"/>
    </row>
    <row r="42" spans="1:20" ht="28.5">
      <c r="A42" s="11" t="s">
        <v>52</v>
      </c>
      <c r="B42" s="63">
        <v>175</v>
      </c>
      <c r="C42" s="12">
        <v>179</v>
      </c>
      <c r="D42" s="66">
        <v>189</v>
      </c>
      <c r="E42" s="58">
        <v>189</v>
      </c>
      <c r="F42" s="18">
        <v>183</v>
      </c>
      <c r="G42" s="16">
        <v>189</v>
      </c>
      <c r="H42" s="15">
        <v>175</v>
      </c>
      <c r="I42" s="24">
        <v>0.08</v>
      </c>
      <c r="J42" s="9">
        <v>1</v>
      </c>
      <c r="K42" s="9"/>
      <c r="L42" s="9"/>
      <c r="M42" s="9"/>
      <c r="N42" s="9"/>
      <c r="O42" s="9"/>
      <c r="P42" s="9"/>
      <c r="Q42" s="9">
        <v>1</v>
      </c>
      <c r="R42" s="9"/>
      <c r="S42" s="9"/>
      <c r="T42" s="10"/>
    </row>
    <row r="43" spans="1:20" ht="28.5">
      <c r="A43" s="11" t="s">
        <v>53</v>
      </c>
      <c r="B43" s="63">
        <v>148</v>
      </c>
      <c r="C43" s="12" t="s">
        <v>13</v>
      </c>
      <c r="D43" s="66">
        <v>155</v>
      </c>
      <c r="E43" s="58">
        <v>153</v>
      </c>
      <c r="F43" s="18">
        <v>152</v>
      </c>
      <c r="G43" s="16">
        <v>155</v>
      </c>
      <c r="H43" s="15">
        <v>148</v>
      </c>
      <c r="I43" s="24">
        <v>4.72972972972973E-2</v>
      </c>
      <c r="J43" s="9">
        <v>1</v>
      </c>
      <c r="K43" s="9"/>
      <c r="L43" s="9"/>
      <c r="M43" s="9"/>
      <c r="N43" s="9"/>
      <c r="O43" s="9"/>
      <c r="P43" s="9"/>
      <c r="Q43" s="9">
        <v>1</v>
      </c>
      <c r="R43" s="9"/>
      <c r="S43" s="9"/>
      <c r="T43" s="10"/>
    </row>
    <row r="44" spans="1:20" ht="28.5">
      <c r="A44" s="11" t="s">
        <v>54</v>
      </c>
      <c r="B44" s="63">
        <v>697</v>
      </c>
      <c r="C44" s="66">
        <v>1175</v>
      </c>
      <c r="D44" s="12">
        <v>945</v>
      </c>
      <c r="E44" s="58">
        <v>990</v>
      </c>
      <c r="F44" s="18">
        <v>951.75</v>
      </c>
      <c r="G44" s="16">
        <v>1175</v>
      </c>
      <c r="H44" s="15">
        <v>697</v>
      </c>
      <c r="I44" s="24">
        <v>0.68579626972740315</v>
      </c>
      <c r="J44" s="9">
        <v>1</v>
      </c>
      <c r="K44" s="9"/>
      <c r="L44" s="9"/>
      <c r="M44" s="9"/>
      <c r="N44" s="9"/>
      <c r="O44" s="9"/>
      <c r="P44" s="9">
        <v>1</v>
      </c>
      <c r="Q44" s="9"/>
      <c r="R44" s="9"/>
      <c r="S44" s="9"/>
      <c r="T44" s="10"/>
    </row>
    <row r="45" spans="1:20" ht="29.25" thickBot="1">
      <c r="A45" s="11" t="s">
        <v>55</v>
      </c>
      <c r="B45" s="63">
        <v>245</v>
      </c>
      <c r="C45" s="12" t="s">
        <v>13</v>
      </c>
      <c r="D45" s="66">
        <v>279</v>
      </c>
      <c r="E45" s="58" t="s">
        <v>13</v>
      </c>
      <c r="F45" s="18">
        <v>262</v>
      </c>
      <c r="G45" s="16">
        <v>279</v>
      </c>
      <c r="H45" s="15">
        <v>245</v>
      </c>
      <c r="I45" s="24">
        <v>0.13877551020408163</v>
      </c>
      <c r="J45" s="9">
        <v>1</v>
      </c>
      <c r="K45" s="9"/>
      <c r="L45" s="14"/>
      <c r="M45" s="14"/>
      <c r="N45" s="9"/>
      <c r="O45" s="9"/>
      <c r="P45" s="9"/>
      <c r="Q45" s="9">
        <v>1</v>
      </c>
      <c r="R45" s="9"/>
      <c r="S45" s="9"/>
      <c r="T45" s="10">
        <v>8</v>
      </c>
    </row>
    <row r="46" spans="1:20" ht="15.75" thickBot="1">
      <c r="A46" s="8" t="s">
        <v>56</v>
      </c>
      <c r="B46" s="45"/>
      <c r="C46" s="46"/>
      <c r="D46" s="46"/>
      <c r="E46" s="46"/>
      <c r="F46" s="46"/>
      <c r="G46" s="46"/>
      <c r="H46" s="46"/>
      <c r="I46" s="46"/>
      <c r="J46" s="46"/>
      <c r="K46" s="47"/>
      <c r="L46" s="48"/>
      <c r="M46" s="47"/>
      <c r="N46" s="46"/>
      <c r="O46" s="47"/>
      <c r="P46" s="48"/>
      <c r="Q46" s="47"/>
      <c r="R46" s="46"/>
      <c r="S46" s="49"/>
      <c r="T46" s="10"/>
    </row>
    <row r="47" spans="1:20" ht="28.5">
      <c r="A47" s="11" t="s">
        <v>57</v>
      </c>
      <c r="B47" s="12">
        <v>398</v>
      </c>
      <c r="C47" s="66">
        <v>400</v>
      </c>
      <c r="D47" s="63">
        <v>380</v>
      </c>
      <c r="E47" s="58">
        <v>396</v>
      </c>
      <c r="F47" s="18">
        <v>393.5</v>
      </c>
      <c r="G47" s="16">
        <v>400</v>
      </c>
      <c r="H47" s="15">
        <v>380</v>
      </c>
      <c r="I47" s="24">
        <v>5.2631578947368418E-2</v>
      </c>
      <c r="J47" s="52"/>
      <c r="K47" s="9"/>
      <c r="L47" s="9">
        <v>1</v>
      </c>
      <c r="M47" s="9"/>
      <c r="N47" s="9"/>
      <c r="O47" s="9">
        <v>1</v>
      </c>
      <c r="P47" s="9"/>
      <c r="Q47" s="9"/>
      <c r="R47" s="9"/>
      <c r="S47" s="9"/>
      <c r="T47" s="10"/>
    </row>
    <row r="48" spans="1:20">
      <c r="A48" s="11" t="s">
        <v>58</v>
      </c>
      <c r="B48" s="12">
        <v>1068</v>
      </c>
      <c r="C48" s="66">
        <v>1070</v>
      </c>
      <c r="D48" s="12">
        <v>778</v>
      </c>
      <c r="E48" s="65">
        <v>775</v>
      </c>
      <c r="F48" s="18">
        <v>922.75</v>
      </c>
      <c r="G48" s="16">
        <v>1070</v>
      </c>
      <c r="H48" s="15">
        <v>775</v>
      </c>
      <c r="I48" s="24">
        <v>0.38064516129032255</v>
      </c>
      <c r="J48" s="52"/>
      <c r="K48" s="9"/>
      <c r="L48" s="9"/>
      <c r="M48" s="9">
        <v>1</v>
      </c>
      <c r="N48" s="9"/>
      <c r="O48" s="9">
        <v>1</v>
      </c>
      <c r="P48" s="9"/>
      <c r="Q48" s="9"/>
      <c r="R48" s="9"/>
      <c r="S48" s="9"/>
      <c r="T48" s="10"/>
    </row>
    <row r="49" spans="1:20" ht="29.25" thickBot="1">
      <c r="A49" s="11" t="s">
        <v>59</v>
      </c>
      <c r="B49" s="63">
        <v>598</v>
      </c>
      <c r="C49" s="12">
        <v>679</v>
      </c>
      <c r="D49" s="66">
        <v>905</v>
      </c>
      <c r="E49" s="58">
        <v>679</v>
      </c>
      <c r="F49" s="18">
        <v>715.25</v>
      </c>
      <c r="G49" s="16">
        <v>905</v>
      </c>
      <c r="H49" s="15">
        <v>598</v>
      </c>
      <c r="I49" s="24">
        <v>0.51337792642140467</v>
      </c>
      <c r="J49" s="52">
        <v>1</v>
      </c>
      <c r="K49" s="9"/>
      <c r="L49" s="9"/>
      <c r="M49" s="9"/>
      <c r="N49" s="9"/>
      <c r="O49" s="9"/>
      <c r="P49" s="9"/>
      <c r="Q49" s="9">
        <v>1</v>
      </c>
      <c r="R49" s="9"/>
      <c r="S49" s="9"/>
      <c r="T49" s="10">
        <v>3</v>
      </c>
    </row>
    <row r="50" spans="1:20" ht="15.75" thickBot="1">
      <c r="A50" s="8" t="s">
        <v>60</v>
      </c>
      <c r="B50" s="45"/>
      <c r="C50" s="46"/>
      <c r="D50" s="46"/>
      <c r="E50" s="46"/>
      <c r="F50" s="46"/>
      <c r="G50" s="46"/>
      <c r="H50" s="46"/>
      <c r="I50" s="46"/>
      <c r="J50" s="46"/>
      <c r="K50" s="47"/>
      <c r="L50" s="48"/>
      <c r="M50" s="47"/>
      <c r="N50" s="46"/>
      <c r="O50" s="47"/>
      <c r="P50" s="48"/>
      <c r="Q50" s="47"/>
      <c r="R50" s="46"/>
      <c r="S50" s="49"/>
      <c r="T50" s="10"/>
    </row>
    <row r="51" spans="1:20">
      <c r="A51" s="11" t="s">
        <v>61</v>
      </c>
      <c r="B51" s="63">
        <v>1398</v>
      </c>
      <c r="C51" s="12" t="s">
        <v>13</v>
      </c>
      <c r="D51" s="12">
        <v>1438</v>
      </c>
      <c r="E51" s="67">
        <v>1698</v>
      </c>
      <c r="F51" s="18">
        <v>1511.3333333333333</v>
      </c>
      <c r="G51" s="16">
        <v>1698</v>
      </c>
      <c r="H51" s="15">
        <v>1398</v>
      </c>
      <c r="I51" s="24">
        <v>0.21459227467811159</v>
      </c>
      <c r="J51" s="52">
        <v>1</v>
      </c>
      <c r="K51" s="9"/>
      <c r="L51" s="9"/>
      <c r="M51" s="9"/>
      <c r="N51" s="9"/>
      <c r="O51" s="9"/>
      <c r="P51" s="9"/>
      <c r="Q51" s="9">
        <v>1</v>
      </c>
      <c r="R51" s="9"/>
      <c r="S51" s="9"/>
      <c r="T51" s="10"/>
    </row>
    <row r="52" spans="1:20">
      <c r="A52" s="11" t="s">
        <v>62</v>
      </c>
      <c r="B52" s="66">
        <v>1098</v>
      </c>
      <c r="C52" s="63">
        <v>937</v>
      </c>
      <c r="D52" s="12">
        <v>999</v>
      </c>
      <c r="E52" s="58">
        <v>989</v>
      </c>
      <c r="F52" s="18">
        <v>1005.75</v>
      </c>
      <c r="G52" s="16">
        <v>1098</v>
      </c>
      <c r="H52" s="15">
        <v>937</v>
      </c>
      <c r="I52" s="24">
        <v>0.17182497331910351</v>
      </c>
      <c r="J52" s="52"/>
      <c r="K52" s="9">
        <v>1</v>
      </c>
      <c r="L52" s="9"/>
      <c r="M52" s="9"/>
      <c r="N52" s="9"/>
      <c r="O52" s="9">
        <v>1</v>
      </c>
      <c r="P52" s="9"/>
      <c r="Q52" s="9"/>
      <c r="R52" s="9"/>
      <c r="S52" s="9"/>
      <c r="T52" s="10"/>
    </row>
    <row r="53" spans="1:20" ht="28.5">
      <c r="A53" s="11" t="s">
        <v>63</v>
      </c>
      <c r="B53" s="63">
        <v>329</v>
      </c>
      <c r="C53" s="12">
        <v>330</v>
      </c>
      <c r="D53" s="12" t="s">
        <v>13</v>
      </c>
      <c r="E53" s="67">
        <v>346</v>
      </c>
      <c r="F53" s="18">
        <v>335</v>
      </c>
      <c r="G53" s="16">
        <v>346</v>
      </c>
      <c r="H53" s="15">
        <v>329</v>
      </c>
      <c r="I53" s="24">
        <v>5.1671732522796353E-2</v>
      </c>
      <c r="J53" s="52">
        <v>1</v>
      </c>
      <c r="K53" s="9"/>
      <c r="L53" s="9"/>
      <c r="M53" s="9"/>
      <c r="N53" s="9"/>
      <c r="O53" s="9"/>
      <c r="P53" s="9"/>
      <c r="Q53" s="9">
        <v>1</v>
      </c>
      <c r="R53" s="9"/>
      <c r="S53" s="9"/>
      <c r="T53" s="10"/>
    </row>
    <row r="54" spans="1:20" ht="29.25" thickBot="1">
      <c r="A54" s="11" t="s">
        <v>64</v>
      </c>
      <c r="B54" s="63">
        <v>498</v>
      </c>
      <c r="C54" s="66">
        <v>609</v>
      </c>
      <c r="D54" s="12">
        <v>499</v>
      </c>
      <c r="E54" s="58">
        <v>499</v>
      </c>
      <c r="F54" s="18">
        <v>526.25</v>
      </c>
      <c r="G54" s="16">
        <v>609</v>
      </c>
      <c r="H54" s="15">
        <v>498</v>
      </c>
      <c r="I54" s="24">
        <v>0.22289156626506024</v>
      </c>
      <c r="J54" s="52">
        <v>1</v>
      </c>
      <c r="K54" s="9"/>
      <c r="L54" s="9"/>
      <c r="M54" s="9"/>
      <c r="N54" s="9"/>
      <c r="O54" s="9"/>
      <c r="P54" s="9">
        <v>1</v>
      </c>
      <c r="Q54" s="9"/>
      <c r="R54" s="9"/>
      <c r="S54" s="9"/>
      <c r="T54" s="10">
        <v>4</v>
      </c>
    </row>
    <row r="55" spans="1:20" ht="15.75" thickBot="1">
      <c r="A55" s="8" t="s">
        <v>65</v>
      </c>
      <c r="B55" s="45"/>
      <c r="C55" s="46"/>
      <c r="D55" s="46"/>
      <c r="E55" s="46"/>
      <c r="F55" s="46"/>
      <c r="G55" s="46"/>
      <c r="H55" s="46"/>
      <c r="I55" s="46"/>
      <c r="J55" s="46"/>
      <c r="K55" s="47"/>
      <c r="L55" s="48"/>
      <c r="M55" s="47"/>
      <c r="N55" s="46"/>
      <c r="O55" s="47"/>
      <c r="P55" s="48"/>
      <c r="Q55" s="47"/>
      <c r="R55" s="46"/>
      <c r="S55" s="49"/>
      <c r="T55" s="10"/>
    </row>
    <row r="56" spans="1:20" ht="28.5">
      <c r="A56" s="11" t="s">
        <v>66</v>
      </c>
      <c r="B56" s="63">
        <v>84</v>
      </c>
      <c r="C56" s="12" t="s">
        <v>13</v>
      </c>
      <c r="D56" s="66">
        <v>87</v>
      </c>
      <c r="E56" s="58">
        <v>85</v>
      </c>
      <c r="F56" s="18">
        <v>85.333333333333329</v>
      </c>
      <c r="G56" s="16">
        <v>87</v>
      </c>
      <c r="H56" s="15">
        <v>84</v>
      </c>
      <c r="I56" s="24">
        <v>3.5714285714285712E-2</v>
      </c>
      <c r="J56" s="52">
        <v>1</v>
      </c>
      <c r="K56" s="9"/>
      <c r="L56" s="9"/>
      <c r="M56" s="9"/>
      <c r="N56" s="9"/>
      <c r="O56" s="9"/>
      <c r="P56" s="9"/>
      <c r="Q56" s="9">
        <v>1</v>
      </c>
      <c r="R56" s="9"/>
      <c r="S56" s="9"/>
      <c r="T56" s="10"/>
    </row>
    <row r="57" spans="1:20" ht="28.5">
      <c r="A57" s="11" t="s">
        <v>67</v>
      </c>
      <c r="B57" s="12">
        <v>98</v>
      </c>
      <c r="C57" s="66">
        <v>135</v>
      </c>
      <c r="D57" s="12">
        <v>100</v>
      </c>
      <c r="E57" s="65">
        <v>87</v>
      </c>
      <c r="F57" s="18">
        <v>105</v>
      </c>
      <c r="G57" s="16">
        <v>135</v>
      </c>
      <c r="H57" s="15">
        <v>87</v>
      </c>
      <c r="I57" s="24">
        <v>0.55172413793103448</v>
      </c>
      <c r="J57" s="52"/>
      <c r="K57" s="9"/>
      <c r="L57" s="9"/>
      <c r="M57" s="9">
        <v>1</v>
      </c>
      <c r="N57" s="9"/>
      <c r="O57" s="9"/>
      <c r="P57" s="9">
        <v>1</v>
      </c>
      <c r="Q57" s="9"/>
      <c r="R57" s="9"/>
      <c r="S57" s="9"/>
      <c r="T57" s="10"/>
    </row>
    <row r="58" spans="1:20" ht="28.5">
      <c r="A58" s="11" t="s">
        <v>68</v>
      </c>
      <c r="B58" s="66">
        <v>198</v>
      </c>
      <c r="C58" s="12" t="s">
        <v>13</v>
      </c>
      <c r="D58" s="12" t="s">
        <v>13</v>
      </c>
      <c r="E58" s="65">
        <v>192</v>
      </c>
      <c r="F58" s="18">
        <v>195</v>
      </c>
      <c r="G58" s="16">
        <v>198</v>
      </c>
      <c r="H58" s="15">
        <v>192</v>
      </c>
      <c r="I58" s="24">
        <v>3.125E-2</v>
      </c>
      <c r="J58" s="52"/>
      <c r="K58" s="9"/>
      <c r="L58" s="9"/>
      <c r="M58" s="9">
        <v>1</v>
      </c>
      <c r="N58" s="9"/>
      <c r="O58" s="9">
        <v>1</v>
      </c>
      <c r="P58" s="9"/>
      <c r="Q58" s="9"/>
      <c r="R58" s="9"/>
      <c r="S58" s="9"/>
      <c r="T58" s="10"/>
    </row>
    <row r="59" spans="1:20">
      <c r="A59" s="11" t="s">
        <v>69</v>
      </c>
      <c r="B59" s="63">
        <v>198</v>
      </c>
      <c r="C59" s="12">
        <v>258</v>
      </c>
      <c r="D59" s="66">
        <v>299</v>
      </c>
      <c r="E59" s="67">
        <v>299</v>
      </c>
      <c r="F59" s="18">
        <v>263.5</v>
      </c>
      <c r="G59" s="16">
        <v>299</v>
      </c>
      <c r="H59" s="15">
        <v>198</v>
      </c>
      <c r="I59" s="24">
        <v>0.51010101010101006</v>
      </c>
      <c r="J59" s="52">
        <v>1</v>
      </c>
      <c r="K59" s="9"/>
      <c r="L59" s="9"/>
      <c r="M59" s="9"/>
      <c r="N59" s="9"/>
      <c r="O59" s="9"/>
      <c r="P59" s="9"/>
      <c r="Q59" s="9">
        <v>1</v>
      </c>
      <c r="R59" s="9">
        <v>1</v>
      </c>
      <c r="S59" s="9"/>
      <c r="T59" s="10"/>
    </row>
    <row r="60" spans="1:20">
      <c r="A60" s="11" t="s">
        <v>70</v>
      </c>
      <c r="B60" s="63">
        <v>295</v>
      </c>
      <c r="C60" s="12">
        <v>296</v>
      </c>
      <c r="D60" s="66">
        <v>359</v>
      </c>
      <c r="E60" s="58" t="s">
        <v>13</v>
      </c>
      <c r="F60" s="18">
        <v>316.66666666666669</v>
      </c>
      <c r="G60" s="16">
        <v>359</v>
      </c>
      <c r="H60" s="15">
        <v>295</v>
      </c>
      <c r="I60" s="24">
        <v>0.21694915254237288</v>
      </c>
      <c r="J60" s="52">
        <v>1</v>
      </c>
      <c r="K60" s="9"/>
      <c r="L60" s="9"/>
      <c r="M60" s="9"/>
      <c r="N60" s="9"/>
      <c r="O60" s="9"/>
      <c r="P60" s="9"/>
      <c r="Q60" s="9">
        <v>1</v>
      </c>
      <c r="R60" s="9"/>
      <c r="S60" s="9"/>
      <c r="T60" s="10"/>
    </row>
    <row r="61" spans="1:20" ht="29.25" thickBot="1">
      <c r="A61" s="11" t="s">
        <v>71</v>
      </c>
      <c r="B61" s="63">
        <v>959</v>
      </c>
      <c r="C61" s="12">
        <v>1064</v>
      </c>
      <c r="D61" s="12">
        <v>1065</v>
      </c>
      <c r="E61" s="67">
        <v>1118</v>
      </c>
      <c r="F61" s="18">
        <v>1051.5</v>
      </c>
      <c r="G61" s="16">
        <v>1118</v>
      </c>
      <c r="H61" s="15">
        <v>959</v>
      </c>
      <c r="I61" s="24">
        <v>0.16579770594369134</v>
      </c>
      <c r="J61" s="52">
        <v>1</v>
      </c>
      <c r="K61" s="9"/>
      <c r="L61" s="9"/>
      <c r="M61" s="9"/>
      <c r="N61" s="9"/>
      <c r="O61" s="9"/>
      <c r="P61" s="9"/>
      <c r="Q61" s="9"/>
      <c r="R61" s="9">
        <v>1</v>
      </c>
      <c r="S61" s="9"/>
      <c r="T61" s="10">
        <v>6</v>
      </c>
    </row>
    <row r="62" spans="1:20" ht="15.75" thickBot="1">
      <c r="A62" s="8" t="s">
        <v>72</v>
      </c>
      <c r="B62" s="45"/>
      <c r="C62" s="46"/>
      <c r="D62" s="46"/>
      <c r="E62" s="46"/>
      <c r="F62" s="46"/>
      <c r="G62" s="46"/>
      <c r="H62" s="46"/>
      <c r="I62" s="46"/>
      <c r="J62" s="46"/>
      <c r="K62" s="47"/>
      <c r="L62" s="48"/>
      <c r="M62" s="47"/>
      <c r="N62" s="46"/>
      <c r="O62" s="47"/>
      <c r="P62" s="48"/>
      <c r="Q62" s="47"/>
      <c r="R62" s="46"/>
      <c r="S62" s="49"/>
      <c r="T62" s="10"/>
    </row>
    <row r="63" spans="1:20">
      <c r="A63" s="11" t="s">
        <v>73</v>
      </c>
      <c r="B63" s="63">
        <v>598</v>
      </c>
      <c r="C63" s="12" t="s">
        <v>13</v>
      </c>
      <c r="D63" s="60">
        <v>629</v>
      </c>
      <c r="E63" s="58">
        <v>619</v>
      </c>
      <c r="F63" s="18">
        <v>615.33333333333337</v>
      </c>
      <c r="G63" s="16">
        <v>629</v>
      </c>
      <c r="H63" s="15">
        <v>598</v>
      </c>
      <c r="I63" s="24">
        <v>5.1839464882943144E-2</v>
      </c>
      <c r="J63" s="52">
        <v>1</v>
      </c>
      <c r="K63" s="9"/>
      <c r="L63" s="9"/>
      <c r="M63" s="9"/>
      <c r="N63" s="9"/>
      <c r="O63" s="9"/>
      <c r="P63" s="9"/>
      <c r="Q63" s="9">
        <v>1</v>
      </c>
      <c r="R63" s="9"/>
      <c r="S63" s="9"/>
      <c r="T63" s="10"/>
    </row>
    <row r="64" spans="1:20" ht="28.5">
      <c r="A64" s="11" t="s">
        <v>74</v>
      </c>
      <c r="B64" s="63">
        <v>369</v>
      </c>
      <c r="C64" s="12">
        <v>370</v>
      </c>
      <c r="D64" s="60">
        <v>379</v>
      </c>
      <c r="E64" s="58">
        <v>378</v>
      </c>
      <c r="F64" s="18">
        <v>374</v>
      </c>
      <c r="G64" s="16">
        <v>379</v>
      </c>
      <c r="H64" s="15">
        <v>369</v>
      </c>
      <c r="I64" s="24">
        <v>2.7100271002710029E-2</v>
      </c>
      <c r="J64" s="52">
        <v>1</v>
      </c>
      <c r="K64" s="9"/>
      <c r="L64" s="9"/>
      <c r="M64" s="9"/>
      <c r="N64" s="9"/>
      <c r="O64" s="9"/>
      <c r="P64" s="9"/>
      <c r="Q64" s="9">
        <v>1</v>
      </c>
      <c r="R64" s="9"/>
      <c r="S64" s="9"/>
      <c r="T64" s="10"/>
    </row>
    <row r="65" spans="1:20" ht="15.75" thickBot="1">
      <c r="A65" s="11" t="s">
        <v>75</v>
      </c>
      <c r="B65" s="63">
        <v>398</v>
      </c>
      <c r="C65" s="12" t="s">
        <v>13</v>
      </c>
      <c r="D65" s="60">
        <v>453</v>
      </c>
      <c r="E65" s="58">
        <v>442</v>
      </c>
      <c r="F65" s="18">
        <v>431</v>
      </c>
      <c r="G65" s="16">
        <v>453</v>
      </c>
      <c r="H65" s="15">
        <v>398</v>
      </c>
      <c r="I65" s="24">
        <v>0.13819095477386933</v>
      </c>
      <c r="J65" s="52">
        <v>1</v>
      </c>
      <c r="K65" s="9"/>
      <c r="L65" s="9"/>
      <c r="M65" s="9"/>
      <c r="N65" s="9"/>
      <c r="O65" s="9"/>
      <c r="P65" s="9"/>
      <c r="Q65" s="9">
        <v>1</v>
      </c>
      <c r="R65" s="9"/>
      <c r="S65" s="9"/>
      <c r="T65" s="10">
        <v>3</v>
      </c>
    </row>
    <row r="66" spans="1:20" ht="15.75" thickBot="1">
      <c r="A66" s="8" t="s">
        <v>76</v>
      </c>
      <c r="B66" s="45"/>
      <c r="C66" s="46"/>
      <c r="D66" s="46"/>
      <c r="E66" s="46"/>
      <c r="F66" s="46"/>
      <c r="G66" s="46"/>
      <c r="H66" s="46"/>
      <c r="I66" s="46"/>
      <c r="J66" s="46"/>
      <c r="K66" s="47"/>
      <c r="L66" s="48"/>
      <c r="M66" s="47"/>
      <c r="N66" s="46"/>
      <c r="O66" s="47"/>
      <c r="P66" s="48"/>
      <c r="Q66" s="47"/>
      <c r="R66" s="46"/>
      <c r="S66" s="49"/>
      <c r="T66" s="10"/>
    </row>
    <row r="67" spans="1:20">
      <c r="A67" s="11" t="s">
        <v>77</v>
      </c>
      <c r="B67" s="63">
        <v>108</v>
      </c>
      <c r="C67" s="12">
        <v>109</v>
      </c>
      <c r="D67" s="66">
        <v>115</v>
      </c>
      <c r="E67" s="58" t="s">
        <v>13</v>
      </c>
      <c r="F67" s="18">
        <v>110.66666666666667</v>
      </c>
      <c r="G67" s="16">
        <v>115</v>
      </c>
      <c r="H67" s="15">
        <v>108</v>
      </c>
      <c r="I67" s="24">
        <v>6.4814814814814811E-2</v>
      </c>
      <c r="J67" s="52">
        <v>1</v>
      </c>
      <c r="K67" s="9"/>
      <c r="L67" s="9"/>
      <c r="M67" s="9"/>
      <c r="N67" s="9"/>
      <c r="O67" s="9"/>
      <c r="P67" s="9"/>
      <c r="Q67" s="9">
        <v>1</v>
      </c>
      <c r="R67" s="9"/>
      <c r="S67" s="9"/>
      <c r="T67" s="10"/>
    </row>
    <row r="68" spans="1:20" ht="30">
      <c r="A68" s="11" t="s">
        <v>78</v>
      </c>
      <c r="B68" s="63">
        <v>98</v>
      </c>
      <c r="C68" s="12">
        <v>99</v>
      </c>
      <c r="D68" s="66">
        <v>119</v>
      </c>
      <c r="E68" s="58">
        <v>118</v>
      </c>
      <c r="F68" s="18">
        <v>108.5</v>
      </c>
      <c r="G68" s="16">
        <v>119</v>
      </c>
      <c r="H68" s="15">
        <v>98</v>
      </c>
      <c r="I68" s="24">
        <v>0.21428571428571427</v>
      </c>
      <c r="J68" s="52">
        <v>1</v>
      </c>
      <c r="K68" s="9"/>
      <c r="L68" s="9"/>
      <c r="M68" s="9"/>
      <c r="N68" s="9"/>
      <c r="O68" s="9"/>
      <c r="P68" s="9"/>
      <c r="Q68" s="9">
        <v>1</v>
      </c>
      <c r="R68" s="9"/>
      <c r="S68" s="9"/>
      <c r="T68" s="10"/>
    </row>
    <row r="69" spans="1:20">
      <c r="A69" s="11" t="s">
        <v>79</v>
      </c>
      <c r="B69" s="63">
        <v>195</v>
      </c>
      <c r="C69" s="12">
        <v>196</v>
      </c>
      <c r="D69" s="66">
        <v>199</v>
      </c>
      <c r="E69" s="58">
        <v>199</v>
      </c>
      <c r="F69" s="18">
        <v>197.25</v>
      </c>
      <c r="G69" s="16">
        <v>199</v>
      </c>
      <c r="H69" s="15">
        <v>195</v>
      </c>
      <c r="I69" s="24">
        <v>2.0512820512820513E-2</v>
      </c>
      <c r="J69" s="52">
        <v>1</v>
      </c>
      <c r="K69" s="9"/>
      <c r="L69" s="9"/>
      <c r="M69" s="9"/>
      <c r="N69" s="9"/>
      <c r="O69" s="9"/>
      <c r="P69" s="9"/>
      <c r="Q69" s="9">
        <v>1</v>
      </c>
      <c r="R69" s="9"/>
      <c r="S69" s="9"/>
      <c r="T69" s="10"/>
    </row>
    <row r="70" spans="1:20" ht="15.75" thickBot="1">
      <c r="A70" s="11" t="s">
        <v>80</v>
      </c>
      <c r="B70" s="63">
        <v>101</v>
      </c>
      <c r="C70" s="12">
        <v>102</v>
      </c>
      <c r="D70" s="66">
        <v>105</v>
      </c>
      <c r="E70" s="58">
        <v>104</v>
      </c>
      <c r="F70" s="18">
        <v>103</v>
      </c>
      <c r="G70" s="16">
        <v>105</v>
      </c>
      <c r="H70" s="15">
        <v>101</v>
      </c>
      <c r="I70" s="24">
        <v>3.9603960396039604E-2</v>
      </c>
      <c r="J70" s="52">
        <v>1</v>
      </c>
      <c r="K70" s="9"/>
      <c r="L70" s="9"/>
      <c r="M70" s="9"/>
      <c r="N70" s="9"/>
      <c r="O70" s="9"/>
      <c r="P70" s="9"/>
      <c r="Q70" s="9">
        <v>1</v>
      </c>
      <c r="R70" s="9"/>
      <c r="S70" s="9"/>
      <c r="T70" s="10">
        <v>4</v>
      </c>
    </row>
    <row r="71" spans="1:20" ht="15.75" thickBot="1">
      <c r="A71" s="8" t="s">
        <v>81</v>
      </c>
      <c r="B71" s="45"/>
      <c r="C71" s="46"/>
      <c r="D71" s="46"/>
      <c r="E71" s="46"/>
      <c r="F71" s="46"/>
      <c r="G71" s="46"/>
      <c r="H71" s="46"/>
      <c r="I71" s="46"/>
      <c r="J71" s="46"/>
      <c r="K71" s="47"/>
      <c r="L71" s="48"/>
      <c r="M71" s="47"/>
      <c r="N71" s="46"/>
      <c r="O71" s="47"/>
      <c r="P71" s="48"/>
      <c r="Q71" s="47"/>
      <c r="R71" s="46"/>
      <c r="S71" s="49"/>
      <c r="T71" s="10"/>
    </row>
    <row r="72" spans="1:20">
      <c r="A72" s="11" t="s">
        <v>82</v>
      </c>
      <c r="B72" s="12">
        <v>209</v>
      </c>
      <c r="C72" s="12" t="s">
        <v>17</v>
      </c>
      <c r="D72" s="63">
        <v>199</v>
      </c>
      <c r="E72" s="67">
        <v>213</v>
      </c>
      <c r="F72" s="18">
        <v>207</v>
      </c>
      <c r="G72" s="16">
        <v>213</v>
      </c>
      <c r="H72" s="15">
        <v>199</v>
      </c>
      <c r="I72" s="24">
        <v>7.0351758793969849E-2</v>
      </c>
      <c r="J72" s="52"/>
      <c r="K72" s="9"/>
      <c r="L72" s="9">
        <v>1</v>
      </c>
      <c r="M72" s="9"/>
      <c r="N72" s="9"/>
      <c r="O72" s="9"/>
      <c r="P72" s="9"/>
      <c r="Q72" s="9"/>
      <c r="R72" s="9">
        <v>1</v>
      </c>
      <c r="S72" s="9"/>
      <c r="T72" s="10"/>
    </row>
    <row r="73" spans="1:20">
      <c r="A73" s="11" t="s">
        <v>83</v>
      </c>
      <c r="B73" s="63">
        <v>329</v>
      </c>
      <c r="C73" s="12" t="s">
        <v>17</v>
      </c>
      <c r="D73" s="66">
        <v>349</v>
      </c>
      <c r="E73" s="58">
        <v>339</v>
      </c>
      <c r="F73" s="18">
        <v>339</v>
      </c>
      <c r="G73" s="16">
        <v>349</v>
      </c>
      <c r="H73" s="15">
        <v>329</v>
      </c>
      <c r="I73" s="24">
        <v>6.0790273556231005E-2</v>
      </c>
      <c r="J73" s="52">
        <v>1</v>
      </c>
      <c r="K73" s="9"/>
      <c r="L73" s="9"/>
      <c r="M73" s="9"/>
      <c r="N73" s="9"/>
      <c r="O73" s="9"/>
      <c r="P73" s="9"/>
      <c r="Q73" s="9">
        <v>1</v>
      </c>
      <c r="R73" s="9"/>
      <c r="S73" s="9"/>
      <c r="T73" s="10"/>
    </row>
    <row r="74" spans="1:20">
      <c r="A74" s="11" t="s">
        <v>84</v>
      </c>
      <c r="B74" s="63">
        <v>118</v>
      </c>
      <c r="C74" s="12" t="s">
        <v>17</v>
      </c>
      <c r="D74" s="66">
        <v>198</v>
      </c>
      <c r="E74" s="58">
        <v>119</v>
      </c>
      <c r="F74" s="18">
        <v>145</v>
      </c>
      <c r="G74" s="16">
        <v>198</v>
      </c>
      <c r="H74" s="15">
        <v>118</v>
      </c>
      <c r="I74" s="24">
        <v>0.67796610169491522</v>
      </c>
      <c r="J74" s="52">
        <v>1</v>
      </c>
      <c r="K74" s="9"/>
      <c r="L74" s="9"/>
      <c r="M74" s="9"/>
      <c r="N74" s="9"/>
      <c r="O74" s="9"/>
      <c r="P74" s="9"/>
      <c r="Q74" s="9">
        <v>1</v>
      </c>
      <c r="R74" s="9"/>
      <c r="S74" s="9"/>
      <c r="T74" s="10"/>
    </row>
    <row r="75" spans="1:20" ht="15.75" thickBot="1">
      <c r="A75" s="11" t="s">
        <v>85</v>
      </c>
      <c r="B75" s="63">
        <v>227</v>
      </c>
      <c r="C75" s="12">
        <v>228</v>
      </c>
      <c r="D75" s="12" t="s">
        <v>13</v>
      </c>
      <c r="E75" s="67">
        <v>268</v>
      </c>
      <c r="F75" s="18">
        <v>241</v>
      </c>
      <c r="G75" s="16">
        <v>268</v>
      </c>
      <c r="H75" s="15">
        <v>227</v>
      </c>
      <c r="I75" s="24">
        <v>0.18061674008810572</v>
      </c>
      <c r="J75" s="52">
        <v>1</v>
      </c>
      <c r="K75" s="9"/>
      <c r="L75" s="9"/>
      <c r="M75" s="9"/>
      <c r="N75" s="9"/>
      <c r="O75" s="9"/>
      <c r="P75" s="9"/>
      <c r="Q75" s="9"/>
      <c r="R75" s="9">
        <v>1</v>
      </c>
      <c r="S75" s="9"/>
      <c r="T75" s="10">
        <v>4</v>
      </c>
    </row>
    <row r="76" spans="1:20" ht="15.75" thickBot="1">
      <c r="A76" s="8" t="s">
        <v>86</v>
      </c>
      <c r="B76" s="45"/>
      <c r="C76" s="46"/>
      <c r="D76" s="46"/>
      <c r="E76" s="46"/>
      <c r="F76" s="46"/>
      <c r="G76" s="46"/>
      <c r="H76" s="46"/>
      <c r="I76" s="24"/>
      <c r="J76" s="46"/>
      <c r="K76" s="47"/>
      <c r="L76" s="48"/>
      <c r="M76" s="47"/>
      <c r="N76" s="46"/>
      <c r="O76" s="47"/>
      <c r="P76" s="48"/>
      <c r="Q76" s="47"/>
      <c r="R76" s="46"/>
      <c r="S76" s="49"/>
      <c r="T76" s="10"/>
    </row>
    <row r="77" spans="1:20">
      <c r="A77" s="37" t="s">
        <v>87</v>
      </c>
      <c r="B77" s="68">
        <v>588</v>
      </c>
      <c r="C77" s="38" t="s">
        <v>13</v>
      </c>
      <c r="D77" s="69">
        <v>649</v>
      </c>
      <c r="E77" s="59">
        <v>639</v>
      </c>
      <c r="F77" s="18">
        <v>625.33333333333337</v>
      </c>
      <c r="G77" s="16">
        <v>649</v>
      </c>
      <c r="H77" s="15">
        <v>588</v>
      </c>
      <c r="I77" s="24">
        <v>0.10374149659863946</v>
      </c>
      <c r="J77" s="52">
        <v>1</v>
      </c>
      <c r="K77" s="9"/>
      <c r="L77" s="9"/>
      <c r="M77" s="9"/>
      <c r="N77" s="9"/>
      <c r="O77" s="9"/>
      <c r="P77" s="9"/>
      <c r="Q77" s="9">
        <v>1</v>
      </c>
      <c r="R77" s="9"/>
      <c r="S77" s="9"/>
      <c r="T77" s="10"/>
    </row>
    <row r="78" spans="1:20" ht="28.5">
      <c r="A78" s="41" t="s">
        <v>88</v>
      </c>
      <c r="B78" s="63">
        <v>589</v>
      </c>
      <c r="C78" s="60">
        <v>807</v>
      </c>
      <c r="D78" s="12">
        <v>593</v>
      </c>
      <c r="E78" s="58">
        <v>593</v>
      </c>
      <c r="F78" s="18">
        <v>645.5</v>
      </c>
      <c r="G78" s="16">
        <v>807</v>
      </c>
      <c r="H78" s="15">
        <v>589</v>
      </c>
      <c r="I78" s="24">
        <v>0.37011884550084889</v>
      </c>
      <c r="J78" s="52">
        <v>1</v>
      </c>
      <c r="K78" s="9"/>
      <c r="L78" s="9"/>
      <c r="M78" s="9"/>
      <c r="N78" s="9"/>
      <c r="O78" s="9"/>
      <c r="P78" s="9">
        <v>1</v>
      </c>
      <c r="Q78" s="9"/>
      <c r="R78" s="9"/>
      <c r="S78" s="9"/>
      <c r="T78" s="10"/>
    </row>
    <row r="79" spans="1:20" ht="28.5">
      <c r="A79" s="41" t="s">
        <v>89</v>
      </c>
      <c r="B79" s="63">
        <v>2590</v>
      </c>
      <c r="C79" s="12" t="s">
        <v>13</v>
      </c>
      <c r="D79" s="60">
        <v>3455</v>
      </c>
      <c r="E79" s="58">
        <v>3453</v>
      </c>
      <c r="F79" s="18">
        <v>3166</v>
      </c>
      <c r="G79" s="16">
        <v>3455</v>
      </c>
      <c r="H79" s="15">
        <v>2590</v>
      </c>
      <c r="I79" s="24">
        <v>0.33397683397683398</v>
      </c>
      <c r="J79" s="52">
        <v>1</v>
      </c>
      <c r="K79" s="9"/>
      <c r="L79" s="9"/>
      <c r="M79" s="9"/>
      <c r="N79" s="9"/>
      <c r="O79" s="9"/>
      <c r="P79" s="9"/>
      <c r="Q79" s="9">
        <v>1</v>
      </c>
      <c r="R79" s="9"/>
      <c r="S79" s="9"/>
      <c r="T79" s="10"/>
    </row>
    <row r="80" spans="1:20" ht="28.5">
      <c r="A80" s="41" t="s">
        <v>90</v>
      </c>
      <c r="B80" s="63">
        <v>31</v>
      </c>
      <c r="C80" s="60">
        <v>36</v>
      </c>
      <c r="D80" s="12">
        <v>32</v>
      </c>
      <c r="E80" s="58">
        <v>31.9</v>
      </c>
      <c r="F80" s="18">
        <v>32.725000000000001</v>
      </c>
      <c r="G80" s="16">
        <v>36</v>
      </c>
      <c r="H80" s="15">
        <v>31</v>
      </c>
      <c r="I80" s="24">
        <v>0.16129032258064516</v>
      </c>
      <c r="J80" s="52">
        <v>1</v>
      </c>
      <c r="K80" s="9"/>
      <c r="L80" s="9"/>
      <c r="M80" s="9"/>
      <c r="N80" s="9"/>
      <c r="O80" s="9"/>
      <c r="P80" s="9">
        <v>1</v>
      </c>
      <c r="Q80" s="9"/>
      <c r="R80" s="9"/>
      <c r="S80" s="9"/>
      <c r="T80" s="10"/>
    </row>
    <row r="81" spans="1:21" ht="28.5">
      <c r="A81" s="41" t="s">
        <v>91</v>
      </c>
      <c r="B81" s="63">
        <v>359</v>
      </c>
      <c r="C81" s="12">
        <v>399</v>
      </c>
      <c r="D81" s="60">
        <v>419</v>
      </c>
      <c r="E81" s="58" t="s">
        <v>13</v>
      </c>
      <c r="F81" s="18">
        <v>392.33333333333331</v>
      </c>
      <c r="G81" s="16">
        <v>419</v>
      </c>
      <c r="H81" s="15">
        <v>359</v>
      </c>
      <c r="I81" s="24">
        <v>0.16713091922005571</v>
      </c>
      <c r="J81" s="52">
        <v>1</v>
      </c>
      <c r="K81" s="9"/>
      <c r="L81" s="9"/>
      <c r="M81" s="9"/>
      <c r="N81" s="9"/>
      <c r="O81" s="9"/>
      <c r="P81" s="9"/>
      <c r="Q81" s="9">
        <v>1</v>
      </c>
      <c r="R81" s="9"/>
      <c r="S81" s="9"/>
      <c r="T81" s="10"/>
      <c r="U81" s="10"/>
    </row>
    <row r="82" spans="1:21" ht="28.5">
      <c r="A82" s="41" t="s">
        <v>92</v>
      </c>
      <c r="B82" s="63">
        <v>1155</v>
      </c>
      <c r="C82" s="12">
        <v>1156</v>
      </c>
      <c r="D82" s="60">
        <v>1349</v>
      </c>
      <c r="E82" s="58">
        <v>1289</v>
      </c>
      <c r="F82" s="18">
        <v>1237.25</v>
      </c>
      <c r="G82" s="16">
        <v>1349</v>
      </c>
      <c r="H82" s="15">
        <v>1155</v>
      </c>
      <c r="I82" s="24">
        <v>0.16796536796536796</v>
      </c>
      <c r="J82" s="52">
        <v>1</v>
      </c>
      <c r="K82" s="9"/>
      <c r="L82" s="9"/>
      <c r="M82" s="9"/>
      <c r="N82" s="9"/>
      <c r="O82" s="9"/>
      <c r="P82" s="9"/>
      <c r="Q82" s="9">
        <v>1</v>
      </c>
      <c r="R82" s="9"/>
      <c r="S82" s="9"/>
      <c r="T82" s="10"/>
      <c r="U82" s="10"/>
    </row>
    <row r="83" spans="1:21" ht="28.5">
      <c r="A83" s="41" t="s">
        <v>93</v>
      </c>
      <c r="B83" s="63">
        <v>985</v>
      </c>
      <c r="C83" s="12">
        <v>986</v>
      </c>
      <c r="D83" s="60">
        <v>1155</v>
      </c>
      <c r="E83" s="58">
        <v>1069</v>
      </c>
      <c r="F83" s="18">
        <v>1048.75</v>
      </c>
      <c r="G83" s="16">
        <v>1155</v>
      </c>
      <c r="H83" s="15">
        <v>985</v>
      </c>
      <c r="I83" s="24">
        <v>0.17258883248730963</v>
      </c>
      <c r="J83" s="52">
        <v>1</v>
      </c>
      <c r="K83" s="9"/>
      <c r="L83" s="9"/>
      <c r="M83" s="9"/>
      <c r="N83" s="9"/>
      <c r="O83" s="9"/>
      <c r="P83" s="9"/>
      <c r="Q83" s="9">
        <v>1</v>
      </c>
      <c r="R83" s="9"/>
      <c r="S83" s="9"/>
      <c r="T83" s="10">
        <v>7</v>
      </c>
      <c r="U83" s="10"/>
    </row>
    <row r="84" spans="1:21">
      <c r="A84" s="4"/>
      <c r="B84" s="4"/>
      <c r="C84" s="4"/>
      <c r="D84" s="4"/>
      <c r="E84" s="4"/>
      <c r="F84" s="4"/>
      <c r="G84" s="4"/>
      <c r="H84" s="4"/>
      <c r="I84" s="4"/>
      <c r="J84" s="7">
        <v>52</v>
      </c>
      <c r="K84" s="7">
        <v>8</v>
      </c>
      <c r="L84" s="7">
        <v>8</v>
      </c>
      <c r="M84" s="7">
        <v>6</v>
      </c>
      <c r="N84" s="4"/>
      <c r="O84" s="7">
        <v>7</v>
      </c>
      <c r="P84" s="7">
        <v>11</v>
      </c>
      <c r="Q84" s="7">
        <v>43</v>
      </c>
      <c r="R84" s="7">
        <v>14</v>
      </c>
      <c r="S84" s="7">
        <v>75</v>
      </c>
      <c r="T84" s="5">
        <v>71</v>
      </c>
      <c r="U84" s="4"/>
    </row>
    <row r="85" spans="1:21" ht="15.75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>
      <c r="A86" s="2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5.75" thickBot="1">
      <c r="A87" s="22"/>
      <c r="B87" s="5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9" spans="1:21">
      <c r="A89" s="4"/>
      <c r="B89" s="7"/>
      <c r="C89" s="4"/>
      <c r="D89" s="4"/>
      <c r="E89" s="57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>
      <c r="A90" s="4"/>
      <c r="B90" s="7"/>
      <c r="C90" s="4"/>
      <c r="D90" s="4"/>
      <c r="E90" s="57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5"/>
    </row>
    <row r="91" spans="1:21">
      <c r="A91" s="4"/>
      <c r="B91" s="4"/>
      <c r="C91" s="4"/>
      <c r="D91" s="4"/>
      <c r="E91" s="5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>
      <c r="A92" s="4"/>
      <c r="B92" s="7"/>
      <c r="C92" s="4"/>
      <c r="D92" s="4"/>
      <c r="E92" s="57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>
      <c r="A93" s="4"/>
      <c r="B93" s="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>
      <selection sqref="A1:E1048576"/>
    </sheetView>
  </sheetViews>
  <sheetFormatPr defaultRowHeight="14.25"/>
  <cols>
    <col min="1" max="1" width="30.42578125" style="6" bestFit="1" customWidth="1"/>
    <col min="2" max="9" width="10.42578125" style="7" bestFit="1" customWidth="1"/>
    <col min="10" max="11" width="10.42578125" style="36" bestFit="1" customWidth="1"/>
    <col min="12" max="12" width="8" style="7" bestFit="1" customWidth="1"/>
    <col min="13" max="13" width="9.140625" style="36"/>
    <col min="14" max="19" width="9.140625" style="72"/>
    <col min="20" max="16384" width="9.140625" style="5"/>
  </cols>
  <sheetData>
    <row r="1" spans="1:19" s="10" customFormat="1" ht="142.5" thickBot="1">
      <c r="A1" s="3" t="s">
        <v>94</v>
      </c>
      <c r="B1" s="1" t="s">
        <v>95</v>
      </c>
      <c r="C1" s="2" t="s">
        <v>96</v>
      </c>
      <c r="D1" s="73" t="s">
        <v>97</v>
      </c>
      <c r="E1" s="74" t="s">
        <v>98</v>
      </c>
      <c r="F1" s="75" t="s">
        <v>99</v>
      </c>
      <c r="G1" s="76" t="s">
        <v>100</v>
      </c>
      <c r="H1" s="77" t="s">
        <v>101</v>
      </c>
      <c r="I1" s="78" t="s">
        <v>5</v>
      </c>
      <c r="J1" s="79" t="s">
        <v>6</v>
      </c>
      <c r="K1" s="79" t="s">
        <v>7</v>
      </c>
      <c r="L1" s="80" t="s">
        <v>8</v>
      </c>
      <c r="M1" s="81"/>
      <c r="N1" s="17"/>
      <c r="O1" s="17"/>
      <c r="P1" s="17"/>
      <c r="Q1" s="17"/>
      <c r="R1" s="17"/>
      <c r="S1" s="17"/>
    </row>
    <row r="2" spans="1:19" s="10" customFormat="1" ht="30.75" thickBot="1">
      <c r="A2" s="8" t="s">
        <v>9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6"/>
      <c r="M2" s="81"/>
      <c r="N2" s="17"/>
      <c r="O2" s="17"/>
      <c r="P2" s="17"/>
      <c r="Q2" s="17"/>
      <c r="R2" s="17"/>
      <c r="S2" s="17"/>
    </row>
    <row r="3" spans="1:19" s="10" customFormat="1">
      <c r="A3" s="11" t="s">
        <v>102</v>
      </c>
      <c r="B3" s="87">
        <v>256</v>
      </c>
      <c r="C3" s="88">
        <v>257</v>
      </c>
      <c r="D3" s="88">
        <v>259</v>
      </c>
      <c r="E3" s="88">
        <v>258</v>
      </c>
      <c r="F3" s="88">
        <v>307</v>
      </c>
      <c r="G3" s="88">
        <v>269</v>
      </c>
      <c r="H3" s="89">
        <v>309</v>
      </c>
      <c r="I3" s="90">
        <f t="shared" ref="I3:I11" si="0">AVERAGE(B3:H3)</f>
        <v>273.57142857142856</v>
      </c>
      <c r="J3" s="91">
        <f t="shared" ref="J3:J11" si="1">MAX(B3:H3)</f>
        <v>309</v>
      </c>
      <c r="K3" s="88">
        <f t="shared" ref="K3:K11" si="2">MIN(B3:H3)</f>
        <v>256</v>
      </c>
      <c r="L3" s="92">
        <f t="shared" ref="L3:L29" si="3">(J3-K3)/K3</f>
        <v>0.20703125</v>
      </c>
      <c r="M3" s="81"/>
      <c r="N3" s="17"/>
      <c r="O3" s="17"/>
      <c r="P3" s="17"/>
      <c r="Q3" s="17"/>
      <c r="R3" s="17"/>
      <c r="S3" s="17"/>
    </row>
    <row r="4" spans="1:19" s="10" customFormat="1">
      <c r="A4" s="11" t="s">
        <v>103</v>
      </c>
      <c r="B4" s="88">
        <v>208</v>
      </c>
      <c r="C4" s="88">
        <v>208</v>
      </c>
      <c r="D4" s="88">
        <v>199</v>
      </c>
      <c r="E4" s="87">
        <v>197</v>
      </c>
      <c r="F4" s="88">
        <v>231</v>
      </c>
      <c r="G4" s="88">
        <v>212</v>
      </c>
      <c r="H4" s="89">
        <v>232</v>
      </c>
      <c r="I4" s="90">
        <f t="shared" si="0"/>
        <v>212.42857142857142</v>
      </c>
      <c r="J4" s="91">
        <f t="shared" si="1"/>
        <v>232</v>
      </c>
      <c r="K4" s="88">
        <f t="shared" si="2"/>
        <v>197</v>
      </c>
      <c r="L4" s="92">
        <f t="shared" si="3"/>
        <v>0.17766497461928935</v>
      </c>
      <c r="M4" s="81"/>
      <c r="N4" s="17"/>
      <c r="O4" s="17"/>
      <c r="P4" s="17"/>
      <c r="Q4" s="17"/>
      <c r="R4" s="17"/>
      <c r="S4" s="17"/>
    </row>
    <row r="5" spans="1:19" s="10" customFormat="1">
      <c r="A5" s="11" t="s">
        <v>104</v>
      </c>
      <c r="B5" s="87">
        <v>96</v>
      </c>
      <c r="C5" s="88">
        <v>97</v>
      </c>
      <c r="D5" s="88">
        <v>97</v>
      </c>
      <c r="E5" s="88">
        <v>97</v>
      </c>
      <c r="F5" s="88">
        <v>97</v>
      </c>
      <c r="G5" s="89">
        <v>99</v>
      </c>
      <c r="H5" s="88">
        <v>98</v>
      </c>
      <c r="I5" s="90">
        <f t="shared" si="0"/>
        <v>97.285714285714292</v>
      </c>
      <c r="J5" s="91">
        <f t="shared" si="1"/>
        <v>99</v>
      </c>
      <c r="K5" s="88">
        <f t="shared" si="2"/>
        <v>96</v>
      </c>
      <c r="L5" s="92">
        <f t="shared" si="3"/>
        <v>3.125E-2</v>
      </c>
      <c r="M5" s="81"/>
      <c r="N5" s="17"/>
      <c r="O5" s="17"/>
      <c r="P5" s="17"/>
      <c r="Q5" s="17"/>
      <c r="R5" s="17"/>
      <c r="S5" s="17"/>
    </row>
    <row r="6" spans="1:19" s="10" customFormat="1">
      <c r="A6" s="11" t="s">
        <v>105</v>
      </c>
      <c r="B6" s="87">
        <v>195</v>
      </c>
      <c r="C6" s="88">
        <v>196</v>
      </c>
      <c r="D6" s="88">
        <v>196</v>
      </c>
      <c r="E6" s="88">
        <v>196</v>
      </c>
      <c r="F6" s="88">
        <v>220</v>
      </c>
      <c r="G6" s="88">
        <v>199</v>
      </c>
      <c r="H6" s="89">
        <v>221</v>
      </c>
      <c r="I6" s="90">
        <f t="shared" si="0"/>
        <v>203.28571428571428</v>
      </c>
      <c r="J6" s="91">
        <f t="shared" si="1"/>
        <v>221</v>
      </c>
      <c r="K6" s="88">
        <f t="shared" si="2"/>
        <v>195</v>
      </c>
      <c r="L6" s="92">
        <f t="shared" si="3"/>
        <v>0.13333333333333333</v>
      </c>
      <c r="M6" s="81"/>
      <c r="N6" s="17"/>
      <c r="O6" s="17"/>
      <c r="P6" s="17"/>
      <c r="Q6" s="17"/>
      <c r="R6" s="17"/>
      <c r="S6" s="17"/>
    </row>
    <row r="7" spans="1:19" s="10" customFormat="1" ht="28.5">
      <c r="A7" s="11" t="s">
        <v>106</v>
      </c>
      <c r="B7" s="88">
        <v>1190</v>
      </c>
      <c r="C7" s="87">
        <f>1002</f>
        <v>1002</v>
      </c>
      <c r="D7" s="89">
        <v>1253</v>
      </c>
      <c r="E7" s="89">
        <v>1253</v>
      </c>
      <c r="F7" s="89">
        <v>1253</v>
      </c>
      <c r="G7" s="88">
        <f>1253*0.95</f>
        <v>1190.3499999999999</v>
      </c>
      <c r="H7" s="89">
        <v>1253</v>
      </c>
      <c r="I7" s="90">
        <f t="shared" si="0"/>
        <v>1199.1928571428573</v>
      </c>
      <c r="J7" s="91">
        <f t="shared" si="1"/>
        <v>1253</v>
      </c>
      <c r="K7" s="88">
        <f t="shared" si="2"/>
        <v>1002</v>
      </c>
      <c r="L7" s="92">
        <f t="shared" si="3"/>
        <v>0.250499001996008</v>
      </c>
      <c r="M7" s="81"/>
      <c r="N7" s="17"/>
      <c r="O7" s="17"/>
      <c r="P7" s="17"/>
      <c r="Q7" s="17"/>
      <c r="R7" s="17"/>
      <c r="S7" s="17"/>
    </row>
    <row r="8" spans="1:19" s="10" customFormat="1">
      <c r="A8" s="11" t="s">
        <v>107</v>
      </c>
      <c r="B8" s="93">
        <v>498</v>
      </c>
      <c r="C8" s="93">
        <v>499</v>
      </c>
      <c r="D8" s="94">
        <v>429</v>
      </c>
      <c r="E8" s="93">
        <v>429</v>
      </c>
      <c r="F8" s="93">
        <v>618</v>
      </c>
      <c r="G8" s="93">
        <v>540</v>
      </c>
      <c r="H8" s="95">
        <v>619</v>
      </c>
      <c r="I8" s="96">
        <f t="shared" si="0"/>
        <v>518.85714285714289</v>
      </c>
      <c r="J8" s="97">
        <f t="shared" si="1"/>
        <v>619</v>
      </c>
      <c r="K8" s="93">
        <f t="shared" si="2"/>
        <v>429</v>
      </c>
      <c r="L8" s="98">
        <f t="shared" si="3"/>
        <v>0.44289044289044288</v>
      </c>
      <c r="M8" s="81"/>
      <c r="N8" s="17"/>
      <c r="O8" s="17"/>
      <c r="P8" s="17"/>
      <c r="Q8" s="17"/>
      <c r="R8" s="17"/>
      <c r="S8" s="17"/>
    </row>
    <row r="9" spans="1:19" s="10" customFormat="1">
      <c r="A9" s="11" t="s">
        <v>15</v>
      </c>
      <c r="B9" s="93">
        <v>206</v>
      </c>
      <c r="C9" s="94">
        <v>202</v>
      </c>
      <c r="D9" s="94">
        <v>202</v>
      </c>
      <c r="E9" s="94">
        <v>202</v>
      </c>
      <c r="F9" s="95">
        <v>268</v>
      </c>
      <c r="G9" s="93">
        <v>239</v>
      </c>
      <c r="H9" s="93" t="s">
        <v>17</v>
      </c>
      <c r="I9" s="96">
        <f t="shared" si="0"/>
        <v>219.83333333333334</v>
      </c>
      <c r="J9" s="97">
        <f t="shared" si="1"/>
        <v>268</v>
      </c>
      <c r="K9" s="93">
        <f t="shared" si="2"/>
        <v>202</v>
      </c>
      <c r="L9" s="98">
        <f>(J9-K9)/K9</f>
        <v>0.32673267326732675</v>
      </c>
      <c r="M9" s="81"/>
      <c r="N9" s="17"/>
      <c r="O9" s="17"/>
      <c r="P9" s="17"/>
      <c r="Q9" s="17"/>
      <c r="R9" s="17"/>
      <c r="S9" s="17"/>
    </row>
    <row r="10" spans="1:19" s="10" customFormat="1">
      <c r="A10" s="11" t="s">
        <v>108</v>
      </c>
      <c r="B10" s="94">
        <v>875</v>
      </c>
      <c r="C10" s="93">
        <v>959</v>
      </c>
      <c r="D10" s="93">
        <v>899</v>
      </c>
      <c r="E10" s="93">
        <v>899</v>
      </c>
      <c r="F10" s="93">
        <v>1193</v>
      </c>
      <c r="G10" s="93" t="s">
        <v>13</v>
      </c>
      <c r="H10" s="95">
        <v>1195</v>
      </c>
      <c r="I10" s="96">
        <f t="shared" si="0"/>
        <v>1003.3333333333334</v>
      </c>
      <c r="J10" s="97">
        <f t="shared" si="1"/>
        <v>1195</v>
      </c>
      <c r="K10" s="93">
        <f t="shared" si="2"/>
        <v>875</v>
      </c>
      <c r="L10" s="98">
        <f>(J10-K10)/K10</f>
        <v>0.36571428571428571</v>
      </c>
      <c r="M10" s="81"/>
      <c r="N10" s="17"/>
      <c r="O10" s="17"/>
      <c r="P10" s="17"/>
      <c r="Q10" s="17"/>
      <c r="R10" s="17"/>
      <c r="S10" s="17"/>
    </row>
    <row r="11" spans="1:19" s="10" customFormat="1" ht="15" thickBot="1">
      <c r="A11" s="11" t="s">
        <v>109</v>
      </c>
      <c r="B11" s="94">
        <v>898</v>
      </c>
      <c r="C11" s="93">
        <v>899</v>
      </c>
      <c r="D11" s="93">
        <v>959</v>
      </c>
      <c r="E11" s="93">
        <v>949</v>
      </c>
      <c r="F11" s="93">
        <v>979</v>
      </c>
      <c r="G11" s="93">
        <v>899</v>
      </c>
      <c r="H11" s="95">
        <v>1075</v>
      </c>
      <c r="I11" s="96">
        <f t="shared" si="0"/>
        <v>951.14285714285711</v>
      </c>
      <c r="J11" s="97">
        <f t="shared" si="1"/>
        <v>1075</v>
      </c>
      <c r="K11" s="93">
        <f t="shared" si="2"/>
        <v>898</v>
      </c>
      <c r="L11" s="98">
        <f t="shared" si="3"/>
        <v>0.19710467706013363</v>
      </c>
      <c r="M11" s="81"/>
      <c r="N11" s="17"/>
      <c r="O11" s="17"/>
      <c r="P11" s="17"/>
      <c r="Q11" s="17"/>
      <c r="R11" s="17"/>
      <c r="S11" s="17"/>
    </row>
    <row r="12" spans="1:19" s="10" customFormat="1" ht="15.75" thickBot="1">
      <c r="A12" s="70" t="s">
        <v>47</v>
      </c>
      <c r="B12" s="99"/>
      <c r="C12" s="99"/>
      <c r="D12" s="99"/>
      <c r="E12" s="99"/>
      <c r="F12" s="99"/>
      <c r="G12" s="99"/>
      <c r="H12" s="99"/>
      <c r="I12" s="99"/>
      <c r="J12" s="100"/>
      <c r="K12" s="100"/>
      <c r="L12" s="101"/>
      <c r="M12" s="81"/>
      <c r="N12" s="17"/>
      <c r="O12" s="17"/>
      <c r="P12" s="17"/>
      <c r="Q12" s="17"/>
      <c r="R12" s="17"/>
      <c r="S12" s="17"/>
    </row>
    <row r="13" spans="1:19" s="10" customFormat="1" ht="28.5">
      <c r="A13" s="11" t="s">
        <v>110</v>
      </c>
      <c r="B13" s="102">
        <v>179</v>
      </c>
      <c r="C13" s="103">
        <f>203/0.77</f>
        <v>263.63636363636363</v>
      </c>
      <c r="D13" s="103">
        <v>257</v>
      </c>
      <c r="E13" s="103">
        <v>330</v>
      </c>
      <c r="F13" s="103">
        <v>209</v>
      </c>
      <c r="G13" s="103">
        <f>176/0.77</f>
        <v>228.57142857142856</v>
      </c>
      <c r="H13" s="104">
        <f>298/0.77</f>
        <v>387.01298701298703</v>
      </c>
      <c r="I13" s="105">
        <f>AVERAGE(B13:H13)</f>
        <v>264.88868274582558</v>
      </c>
      <c r="J13" s="106">
        <f>MAX(B13:H13)</f>
        <v>387.01298701298703</v>
      </c>
      <c r="K13" s="103">
        <f>MIN(B13:H13)</f>
        <v>179</v>
      </c>
      <c r="L13" s="107">
        <f t="shared" si="3"/>
        <v>1.1620837263295365</v>
      </c>
      <c r="M13" s="81"/>
      <c r="N13" s="17"/>
      <c r="O13" s="17"/>
      <c r="P13" s="17"/>
      <c r="Q13" s="17"/>
      <c r="R13" s="17"/>
      <c r="S13" s="17"/>
    </row>
    <row r="14" spans="1:19" s="10" customFormat="1">
      <c r="A14" s="108" t="s">
        <v>111</v>
      </c>
      <c r="B14" s="94">
        <v>229</v>
      </c>
      <c r="C14" s="93">
        <v>239</v>
      </c>
      <c r="D14" s="93">
        <v>255</v>
      </c>
      <c r="E14" s="93">
        <v>249</v>
      </c>
      <c r="F14" s="95">
        <v>339</v>
      </c>
      <c r="G14" s="93">
        <v>288</v>
      </c>
      <c r="H14" s="95">
        <v>339</v>
      </c>
      <c r="I14" s="96">
        <f>AVERAGE(B14:H14)</f>
        <v>276.85714285714283</v>
      </c>
      <c r="J14" s="97">
        <f>MAX(B14:H14)</f>
        <v>339</v>
      </c>
      <c r="K14" s="93">
        <f>MIN(B14:H14)</f>
        <v>229</v>
      </c>
      <c r="L14" s="98">
        <f>(J14-K14)/K14</f>
        <v>0.48034934497816595</v>
      </c>
      <c r="M14" s="81"/>
      <c r="N14" s="17"/>
      <c r="O14" s="17"/>
      <c r="P14" s="17"/>
      <c r="Q14" s="17"/>
      <c r="R14" s="17"/>
      <c r="S14" s="17"/>
    </row>
    <row r="15" spans="1:19" s="10" customFormat="1" ht="15" thickBot="1">
      <c r="A15" s="11" t="s">
        <v>112</v>
      </c>
      <c r="B15" s="93">
        <f>98/0.17</f>
        <v>576.47058823529403</v>
      </c>
      <c r="C15" s="93">
        <f>105/0.18</f>
        <v>583.33333333333337</v>
      </c>
      <c r="D15" s="94">
        <f>113/0.215</f>
        <v>525.58139534883719</v>
      </c>
      <c r="E15" s="95">
        <f>169/0.175</f>
        <v>965.71428571428578</v>
      </c>
      <c r="F15" s="93">
        <f>99/0.16</f>
        <v>618.75</v>
      </c>
      <c r="G15" s="93">
        <f>99/0.18</f>
        <v>550</v>
      </c>
      <c r="H15" s="93">
        <f>112/0.18</f>
        <v>622.22222222222229</v>
      </c>
      <c r="I15" s="96">
        <f>AVERAGE(B15:H15)</f>
        <v>634.58168926485325</v>
      </c>
      <c r="J15" s="97">
        <f>MAX(B15:H15)</f>
        <v>965.71428571428578</v>
      </c>
      <c r="K15" s="93">
        <f>MIN(B15:H15)</f>
        <v>525.58139534883719</v>
      </c>
      <c r="L15" s="98">
        <f>(J15-K15)/K15</f>
        <v>0.83742098609355264</v>
      </c>
      <c r="M15" s="81"/>
      <c r="N15" s="17"/>
      <c r="O15" s="17"/>
      <c r="P15" s="17"/>
      <c r="Q15" s="17"/>
      <c r="R15" s="17"/>
      <c r="S15" s="17"/>
    </row>
    <row r="16" spans="1:19" s="10" customFormat="1" ht="15.75" thickBot="1">
      <c r="A16" s="8" t="s">
        <v>56</v>
      </c>
      <c r="B16" s="99"/>
      <c r="C16" s="99"/>
      <c r="D16" s="99"/>
      <c r="E16" s="99"/>
      <c r="F16" s="99"/>
      <c r="G16" s="99"/>
      <c r="H16" s="99"/>
      <c r="I16" s="99"/>
      <c r="J16" s="100"/>
      <c r="K16" s="100"/>
      <c r="L16" s="101"/>
      <c r="M16" s="81"/>
      <c r="N16" s="17"/>
      <c r="O16" s="17"/>
      <c r="P16" s="17"/>
      <c r="Q16" s="17"/>
      <c r="R16" s="17"/>
      <c r="S16" s="17"/>
    </row>
    <row r="17" spans="1:19" s="10" customFormat="1" ht="28.5">
      <c r="A17" s="11" t="s">
        <v>113</v>
      </c>
      <c r="B17" s="87">
        <v>377</v>
      </c>
      <c r="C17" s="88">
        <v>378</v>
      </c>
      <c r="D17" s="88">
        <v>380</v>
      </c>
      <c r="E17" s="88">
        <v>396</v>
      </c>
      <c r="F17" s="89">
        <v>472</v>
      </c>
      <c r="G17" s="88">
        <f>382/0.95</f>
        <v>402.10526315789474</v>
      </c>
      <c r="H17" s="88">
        <v>449</v>
      </c>
      <c r="I17" s="90">
        <f>AVERAGE(B17:H17)</f>
        <v>407.72932330827064</v>
      </c>
      <c r="J17" s="91">
        <f>MAX(B17:H17)</f>
        <v>472</v>
      </c>
      <c r="K17" s="88">
        <f>MIN(B17:H17)</f>
        <v>377</v>
      </c>
      <c r="L17" s="92">
        <f t="shared" si="3"/>
        <v>0.25198938992042441</v>
      </c>
      <c r="M17" s="81"/>
      <c r="N17" s="17"/>
      <c r="O17" s="17"/>
      <c r="P17" s="17"/>
      <c r="Q17" s="17"/>
      <c r="R17" s="17"/>
      <c r="S17" s="17"/>
    </row>
    <row r="18" spans="1:19" s="10" customFormat="1" ht="15" thickBot="1">
      <c r="A18" s="11" t="s">
        <v>114</v>
      </c>
      <c r="B18" s="88">
        <v>916</v>
      </c>
      <c r="C18" s="88">
        <v>826</v>
      </c>
      <c r="D18" s="88">
        <v>867</v>
      </c>
      <c r="E18" s="87">
        <f>689/0.992</f>
        <v>694.55645161290317</v>
      </c>
      <c r="F18" s="88">
        <v>956</v>
      </c>
      <c r="G18" s="88">
        <f>899/0.992</f>
        <v>906.25</v>
      </c>
      <c r="H18" s="89">
        <f>509/0.518</f>
        <v>982.62548262548262</v>
      </c>
      <c r="I18" s="90">
        <f>AVERAGE(B18:H18)</f>
        <v>878.34741917691224</v>
      </c>
      <c r="J18" s="91">
        <f>MAX(B18:H18)</f>
        <v>982.62548262548262</v>
      </c>
      <c r="K18" s="88">
        <f>MIN(B18:H18)</f>
        <v>694.55645161290317</v>
      </c>
      <c r="L18" s="92">
        <f t="shared" si="3"/>
        <v>0.41475250909213185</v>
      </c>
      <c r="M18" s="81"/>
      <c r="N18" s="17"/>
      <c r="O18" s="17"/>
      <c r="P18" s="17"/>
      <c r="Q18" s="17"/>
      <c r="R18" s="17"/>
      <c r="S18" s="17"/>
    </row>
    <row r="19" spans="1:19" s="10" customFormat="1" ht="15.75" thickBot="1">
      <c r="A19" s="8" t="s">
        <v>25</v>
      </c>
      <c r="B19" s="99"/>
      <c r="C19" s="99"/>
      <c r="D19" s="99"/>
      <c r="E19" s="99"/>
      <c r="F19" s="99"/>
      <c r="G19" s="99"/>
      <c r="H19" s="99"/>
      <c r="I19" s="99"/>
      <c r="J19" s="100"/>
      <c r="K19" s="100"/>
      <c r="L19" s="101"/>
      <c r="M19" s="81"/>
      <c r="N19" s="17"/>
      <c r="O19" s="17"/>
      <c r="P19" s="17"/>
      <c r="Q19" s="17"/>
      <c r="R19" s="17"/>
      <c r="S19" s="17"/>
    </row>
    <row r="20" spans="1:19" s="10" customFormat="1" ht="28.5">
      <c r="A20" s="11" t="s">
        <v>115</v>
      </c>
      <c r="B20" s="87">
        <v>1498</v>
      </c>
      <c r="C20" s="88">
        <f>2798*0.8</f>
        <v>2238.4</v>
      </c>
      <c r="D20" s="88">
        <f>2023/0.736</f>
        <v>2748.641304347826</v>
      </c>
      <c r="E20" s="89">
        <f>2749</f>
        <v>2749</v>
      </c>
      <c r="F20" s="88">
        <v>2199</v>
      </c>
      <c r="G20" s="88">
        <f>2220*0.9</f>
        <v>1998</v>
      </c>
      <c r="H20" s="88">
        <f>2698*0.9</f>
        <v>2428.2000000000003</v>
      </c>
      <c r="I20" s="90">
        <f t="shared" ref="I20:I26" si="4">AVERAGE(B20:H20)</f>
        <v>2265.6059006211181</v>
      </c>
      <c r="J20" s="91">
        <f t="shared" ref="J20:J26" si="5">MAX(B20:H20)</f>
        <v>2749</v>
      </c>
      <c r="K20" s="88">
        <f t="shared" ref="K20:K26" si="6">MIN(B20:H20)</f>
        <v>1498</v>
      </c>
      <c r="L20" s="92">
        <f t="shared" si="3"/>
        <v>0.83511348464619495</v>
      </c>
      <c r="M20" s="81"/>
      <c r="N20" s="17"/>
      <c r="O20" s="17"/>
      <c r="P20" s="17"/>
      <c r="Q20" s="17"/>
      <c r="R20" s="17"/>
      <c r="S20" s="17"/>
    </row>
    <row r="21" spans="1:19" s="10" customFormat="1" ht="42.75">
      <c r="A21" s="11" t="s">
        <v>116</v>
      </c>
      <c r="B21" s="88" t="s">
        <v>13</v>
      </c>
      <c r="C21" s="89">
        <f>2398*0.9</f>
        <v>2158.2000000000003</v>
      </c>
      <c r="D21" s="88" t="s">
        <v>13</v>
      </c>
      <c r="E21" s="88" t="s">
        <v>13</v>
      </c>
      <c r="F21" s="88">
        <v>1978</v>
      </c>
      <c r="G21" s="87">
        <v>1295</v>
      </c>
      <c r="H21" s="88" t="s">
        <v>13</v>
      </c>
      <c r="I21" s="90">
        <f t="shared" si="4"/>
        <v>1810.4000000000003</v>
      </c>
      <c r="J21" s="91">
        <f t="shared" si="5"/>
        <v>2158.2000000000003</v>
      </c>
      <c r="K21" s="88">
        <f t="shared" si="6"/>
        <v>1295</v>
      </c>
      <c r="L21" s="92">
        <f t="shared" si="3"/>
        <v>0.66656370656370678</v>
      </c>
      <c r="M21" s="32"/>
    </row>
    <row r="22" spans="1:19" s="10" customFormat="1">
      <c r="A22" s="11" t="s">
        <v>117</v>
      </c>
      <c r="B22" s="87">
        <f>1398*0.9</f>
        <v>1258.2</v>
      </c>
      <c r="C22" s="88">
        <f>1698*0.85</f>
        <v>1443.3</v>
      </c>
      <c r="D22" s="88" t="s">
        <v>13</v>
      </c>
      <c r="E22" s="88" t="s">
        <v>13</v>
      </c>
      <c r="F22" s="89">
        <v>1598</v>
      </c>
      <c r="G22" s="88">
        <v>1498</v>
      </c>
      <c r="H22" s="88" t="s">
        <v>13</v>
      </c>
      <c r="I22" s="90">
        <f t="shared" si="4"/>
        <v>1449.375</v>
      </c>
      <c r="J22" s="91">
        <f t="shared" si="5"/>
        <v>1598</v>
      </c>
      <c r="K22" s="88">
        <f t="shared" si="6"/>
        <v>1258.2</v>
      </c>
      <c r="L22" s="92">
        <f>(J22-K22)/K22</f>
        <v>0.27006835161341597</v>
      </c>
      <c r="M22" s="81"/>
      <c r="N22" s="17"/>
      <c r="O22" s="17"/>
      <c r="P22" s="17"/>
      <c r="Q22" s="17"/>
      <c r="R22" s="17"/>
      <c r="S22" s="17"/>
    </row>
    <row r="23" spans="1:19" s="10" customFormat="1" ht="28.5">
      <c r="A23" s="11" t="s">
        <v>118</v>
      </c>
      <c r="B23" s="88">
        <v>1258</v>
      </c>
      <c r="C23" s="88">
        <f>1398*0.9</f>
        <v>1258.2</v>
      </c>
      <c r="D23" s="87">
        <v>1189</v>
      </c>
      <c r="E23" s="87">
        <v>1189</v>
      </c>
      <c r="F23" s="89">
        <v>1389</v>
      </c>
      <c r="G23" s="88">
        <v>1248</v>
      </c>
      <c r="H23" s="89">
        <v>1398</v>
      </c>
      <c r="I23" s="90">
        <f t="shared" si="4"/>
        <v>1275.6000000000001</v>
      </c>
      <c r="J23" s="91">
        <f t="shared" si="5"/>
        <v>1398</v>
      </c>
      <c r="K23" s="88">
        <f t="shared" si="6"/>
        <v>1189</v>
      </c>
      <c r="L23" s="92">
        <f t="shared" si="3"/>
        <v>0.17577796467619849</v>
      </c>
      <c r="M23" s="81"/>
      <c r="N23" s="17"/>
      <c r="O23" s="17"/>
      <c r="P23" s="17"/>
      <c r="Q23" s="17"/>
      <c r="R23" s="17"/>
      <c r="S23" s="17"/>
    </row>
    <row r="24" spans="1:19" s="10" customFormat="1" ht="28.5">
      <c r="A24" s="109" t="s">
        <v>119</v>
      </c>
      <c r="B24" s="87">
        <v>824</v>
      </c>
      <c r="C24" s="88">
        <v>877</v>
      </c>
      <c r="D24" s="89">
        <f>415/0.37</f>
        <v>1121.6216216216217</v>
      </c>
      <c r="E24" s="88">
        <v>878</v>
      </c>
      <c r="F24" s="88">
        <f>379/0.375</f>
        <v>1010.6666666666666</v>
      </c>
      <c r="G24" s="88">
        <f>323/0.375</f>
        <v>861.33333333333337</v>
      </c>
      <c r="H24" s="88">
        <v>1013</v>
      </c>
      <c r="I24" s="90">
        <f t="shared" si="4"/>
        <v>940.80308880308883</v>
      </c>
      <c r="J24" s="91">
        <f t="shared" si="5"/>
        <v>1121.6216216216217</v>
      </c>
      <c r="K24" s="88">
        <f t="shared" si="6"/>
        <v>824</v>
      </c>
      <c r="L24" s="92">
        <f>(J24-K24)/K24</f>
        <v>0.36119128837575448</v>
      </c>
      <c r="M24" s="81"/>
      <c r="N24" s="17"/>
      <c r="O24" s="17"/>
      <c r="P24" s="17"/>
      <c r="Q24" s="17"/>
      <c r="R24" s="17"/>
      <c r="S24" s="17"/>
    </row>
    <row r="25" spans="1:19" s="10" customFormat="1" ht="28.5">
      <c r="A25" s="11" t="s">
        <v>120</v>
      </c>
      <c r="B25" s="102">
        <f>3128*0.9</f>
        <v>2815.2000000000003</v>
      </c>
      <c r="C25" s="103">
        <f>3128*0.9</f>
        <v>2815.2000000000003</v>
      </c>
      <c r="D25" s="104">
        <v>3128</v>
      </c>
      <c r="E25" s="104">
        <v>3128</v>
      </c>
      <c r="F25" s="104">
        <v>3128</v>
      </c>
      <c r="G25" s="104">
        <v>3128</v>
      </c>
      <c r="H25" s="104">
        <v>3128</v>
      </c>
      <c r="I25" s="105">
        <f t="shared" si="4"/>
        <v>3038.6285714285718</v>
      </c>
      <c r="J25" s="106">
        <f t="shared" si="5"/>
        <v>3128</v>
      </c>
      <c r="K25" s="103">
        <f t="shared" si="6"/>
        <v>2815.2000000000003</v>
      </c>
      <c r="L25" s="107">
        <f t="shared" si="3"/>
        <v>0.11111111111111101</v>
      </c>
      <c r="M25" s="81"/>
      <c r="N25" s="17"/>
      <c r="O25" s="17"/>
      <c r="P25" s="17"/>
      <c r="Q25" s="17"/>
      <c r="R25" s="17"/>
      <c r="S25" s="17"/>
    </row>
    <row r="26" spans="1:19" s="10" customFormat="1" ht="43.5" thickBot="1">
      <c r="A26" s="11" t="s">
        <v>121</v>
      </c>
      <c r="B26" s="87">
        <f>1789*0.9</f>
        <v>1610.1000000000001</v>
      </c>
      <c r="C26" s="87">
        <f>1789*0.9</f>
        <v>1610.1000000000001</v>
      </c>
      <c r="D26" s="103">
        <v>2344</v>
      </c>
      <c r="E26" s="104">
        <v>2749</v>
      </c>
      <c r="F26" s="88">
        <v>1789</v>
      </c>
      <c r="G26" s="88">
        <v>2309</v>
      </c>
      <c r="H26" s="88">
        <v>1789</v>
      </c>
      <c r="I26" s="90">
        <f t="shared" si="4"/>
        <v>2028.6000000000001</v>
      </c>
      <c r="J26" s="91">
        <f t="shared" si="5"/>
        <v>2749</v>
      </c>
      <c r="K26" s="88">
        <f t="shared" si="6"/>
        <v>1610.1000000000001</v>
      </c>
      <c r="L26" s="92">
        <f t="shared" si="3"/>
        <v>0.70734736972858814</v>
      </c>
      <c r="M26" s="81"/>
      <c r="N26" s="17"/>
      <c r="O26" s="17"/>
      <c r="P26" s="17"/>
      <c r="Q26" s="17"/>
      <c r="R26" s="17"/>
      <c r="S26" s="17"/>
    </row>
    <row r="27" spans="1:19" s="10" customFormat="1" ht="15.75" thickBot="1">
      <c r="A27" s="8" t="s">
        <v>60</v>
      </c>
      <c r="B27" s="99"/>
      <c r="C27" s="99"/>
      <c r="D27" s="99"/>
      <c r="E27" s="99"/>
      <c r="F27" s="99"/>
      <c r="G27" s="99"/>
      <c r="H27" s="99"/>
      <c r="I27" s="99"/>
      <c r="J27" s="100"/>
      <c r="K27" s="100"/>
      <c r="L27" s="101"/>
      <c r="M27" s="81"/>
      <c r="N27" s="17"/>
      <c r="O27" s="17"/>
      <c r="P27" s="17"/>
      <c r="Q27" s="17"/>
      <c r="R27" s="17"/>
      <c r="S27" s="17"/>
    </row>
    <row r="28" spans="1:19" s="10" customFormat="1" ht="15">
      <c r="A28" s="11" t="s">
        <v>122</v>
      </c>
      <c r="B28" s="87">
        <v>1078</v>
      </c>
      <c r="C28" s="88">
        <f>1698*0.9</f>
        <v>1528.2</v>
      </c>
      <c r="D28" s="88">
        <v>1498</v>
      </c>
      <c r="E28" s="88">
        <v>1498</v>
      </c>
      <c r="F28" s="89">
        <v>1886</v>
      </c>
      <c r="G28" s="88">
        <v>1150</v>
      </c>
      <c r="H28" s="88">
        <v>1498</v>
      </c>
      <c r="I28" s="90">
        <f>AVERAGE(B28:H28)</f>
        <v>1448.0285714285715</v>
      </c>
      <c r="J28" s="91">
        <f>MAX(B28:H28)</f>
        <v>1886</v>
      </c>
      <c r="K28" s="88">
        <f>MIN(B28:H28)</f>
        <v>1078</v>
      </c>
      <c r="L28" s="92">
        <f t="shared" si="3"/>
        <v>0.74953617810760664</v>
      </c>
      <c r="M28" s="81"/>
      <c r="N28" s="17"/>
      <c r="O28" s="17"/>
      <c r="P28" s="17"/>
      <c r="Q28" s="17"/>
      <c r="R28" s="17"/>
      <c r="S28" s="17"/>
    </row>
    <row r="29" spans="1:19" s="10" customFormat="1" ht="15">
      <c r="A29" s="11" t="s">
        <v>123</v>
      </c>
      <c r="B29" s="87">
        <v>450</v>
      </c>
      <c r="C29" s="88">
        <v>549</v>
      </c>
      <c r="D29" s="88">
        <v>659</v>
      </c>
      <c r="E29" s="88">
        <v>659</v>
      </c>
      <c r="F29" s="88" t="s">
        <v>17</v>
      </c>
      <c r="G29" s="89">
        <v>695</v>
      </c>
      <c r="H29" s="88" t="s">
        <v>17</v>
      </c>
      <c r="I29" s="90">
        <f>AVERAGE(B29:H29)</f>
        <v>602.4</v>
      </c>
      <c r="J29" s="91">
        <f>MAX(B29:H29)</f>
        <v>695</v>
      </c>
      <c r="K29" s="88">
        <f>MIN(B29:H29)</f>
        <v>450</v>
      </c>
      <c r="L29" s="92">
        <f t="shared" si="3"/>
        <v>0.5444444444444444</v>
      </c>
      <c r="M29" s="81"/>
      <c r="N29" s="17"/>
      <c r="O29" s="17"/>
      <c r="P29" s="17"/>
      <c r="Q29" s="17"/>
      <c r="R29" s="17"/>
      <c r="S29" s="17"/>
    </row>
    <row r="30" spans="1:19" s="10" customFormat="1" ht="15">
      <c r="A30" s="11" t="s">
        <v>124</v>
      </c>
      <c r="B30" s="88">
        <v>898</v>
      </c>
      <c r="C30" s="87">
        <v>798</v>
      </c>
      <c r="D30" s="88">
        <v>898</v>
      </c>
      <c r="E30" s="88">
        <v>898</v>
      </c>
      <c r="F30" s="89">
        <v>939</v>
      </c>
      <c r="G30" s="88">
        <v>898</v>
      </c>
      <c r="H30" s="88">
        <v>898</v>
      </c>
      <c r="I30" s="90">
        <f>AVERAGE(B30:H30)</f>
        <v>889.57142857142856</v>
      </c>
      <c r="J30" s="91">
        <f>MAX(B30:H30)</f>
        <v>939</v>
      </c>
      <c r="K30" s="88">
        <f>MIN(B30:H30)</f>
        <v>798</v>
      </c>
      <c r="L30" s="92">
        <f>(J30-K30)/K30</f>
        <v>0.17669172932330826</v>
      </c>
      <c r="M30" s="81"/>
      <c r="N30" s="17"/>
      <c r="O30" s="17"/>
      <c r="P30" s="17"/>
      <c r="Q30" s="17"/>
      <c r="R30" s="17"/>
      <c r="S30" s="17"/>
    </row>
    <row r="31" spans="1:19" s="10" customFormat="1" ht="15">
      <c r="A31" s="11" t="s">
        <v>125</v>
      </c>
      <c r="B31" s="87">
        <v>147</v>
      </c>
      <c r="C31" s="88">
        <v>225</v>
      </c>
      <c r="D31" s="88">
        <v>330</v>
      </c>
      <c r="E31" s="88">
        <v>198</v>
      </c>
      <c r="F31" s="89">
        <v>378</v>
      </c>
      <c r="G31" s="88">
        <v>347</v>
      </c>
      <c r="H31" s="88">
        <v>339.5</v>
      </c>
      <c r="I31" s="90">
        <f>AVERAGE(B31:H31)</f>
        <v>280.64285714285717</v>
      </c>
      <c r="J31" s="91">
        <f>MAX(B31:H31)</f>
        <v>378</v>
      </c>
      <c r="K31" s="88">
        <f>MIN(B31:H31)</f>
        <v>147</v>
      </c>
      <c r="L31" s="92">
        <f>(J31-K31)/K31</f>
        <v>1.5714285714285714</v>
      </c>
      <c r="M31" s="81"/>
      <c r="N31" s="17"/>
      <c r="O31" s="17"/>
      <c r="P31" s="17"/>
      <c r="Q31" s="17"/>
      <c r="R31" s="17"/>
      <c r="S31" s="17"/>
    </row>
    <row r="32" spans="1:19" s="10" customFormat="1" ht="15" thickBot="1">
      <c r="A32" s="11" t="s">
        <v>126</v>
      </c>
      <c r="B32" s="87">
        <v>398</v>
      </c>
      <c r="C32" s="88">
        <v>425</v>
      </c>
      <c r="D32" s="88">
        <v>459</v>
      </c>
      <c r="E32" s="88">
        <v>595</v>
      </c>
      <c r="F32" s="88">
        <v>599</v>
      </c>
      <c r="G32" s="88">
        <v>498</v>
      </c>
      <c r="H32" s="89">
        <v>645</v>
      </c>
      <c r="I32" s="90">
        <f>AVERAGE(B32:H32)</f>
        <v>517</v>
      </c>
      <c r="J32" s="91">
        <f>MAX(B32:H32)</f>
        <v>645</v>
      </c>
      <c r="K32" s="88">
        <f>MIN(B32:H32)</f>
        <v>398</v>
      </c>
      <c r="L32" s="92">
        <f>(J32-K32)/K32</f>
        <v>0.62060301507537685</v>
      </c>
      <c r="M32" s="81"/>
      <c r="N32" s="17"/>
      <c r="O32" s="17"/>
      <c r="P32" s="17"/>
      <c r="Q32" s="17"/>
      <c r="R32" s="17"/>
      <c r="S32" s="17"/>
    </row>
    <row r="33" spans="1:19" s="10" customFormat="1" ht="15.75" thickBot="1">
      <c r="A33" s="8" t="s">
        <v>65</v>
      </c>
      <c r="B33" s="99"/>
      <c r="C33" s="99"/>
      <c r="D33" s="99"/>
      <c r="E33" s="99"/>
      <c r="F33" s="99"/>
      <c r="G33" s="99"/>
      <c r="H33" s="99"/>
      <c r="I33" s="99"/>
      <c r="J33" s="100"/>
      <c r="K33" s="100"/>
      <c r="L33" s="101"/>
      <c r="M33" s="81"/>
      <c r="N33" s="17"/>
      <c r="O33" s="17"/>
      <c r="P33" s="17"/>
      <c r="Q33" s="17"/>
      <c r="R33" s="17"/>
      <c r="S33" s="17"/>
    </row>
    <row r="34" spans="1:19" s="10" customFormat="1" ht="15">
      <c r="A34" s="11" t="s">
        <v>127</v>
      </c>
      <c r="B34" s="87">
        <v>195</v>
      </c>
      <c r="C34" s="88">
        <f>179*2</f>
        <v>358</v>
      </c>
      <c r="D34" s="88">
        <v>198</v>
      </c>
      <c r="E34" s="88">
        <v>198</v>
      </c>
      <c r="F34" s="88">
        <v>205</v>
      </c>
      <c r="G34" s="88">
        <v>300</v>
      </c>
      <c r="H34" s="89">
        <f>189*2</f>
        <v>378</v>
      </c>
      <c r="I34" s="90">
        <f t="shared" ref="I34:I41" si="7">AVERAGE(B34:H34)</f>
        <v>261.71428571428572</v>
      </c>
      <c r="J34" s="91">
        <f t="shared" ref="J34:J41" si="8">MAX(B34:H34)</f>
        <v>378</v>
      </c>
      <c r="K34" s="88">
        <f t="shared" ref="K34:K41" si="9">MIN(B34:H34)</f>
        <v>195</v>
      </c>
      <c r="L34" s="92">
        <f t="shared" ref="L34:L41" si="10">(J34-K34)/K34</f>
        <v>0.93846153846153846</v>
      </c>
      <c r="M34" s="81"/>
      <c r="N34" s="17"/>
      <c r="O34" s="17"/>
      <c r="P34" s="17"/>
      <c r="Q34" s="17"/>
      <c r="R34" s="17"/>
      <c r="S34" s="17"/>
    </row>
    <row r="35" spans="1:19" s="10" customFormat="1" ht="30">
      <c r="A35" s="11" t="s">
        <v>128</v>
      </c>
      <c r="B35" s="88" t="s">
        <v>13</v>
      </c>
      <c r="C35" s="88">
        <v>1196</v>
      </c>
      <c r="D35" s="88" t="s">
        <v>13</v>
      </c>
      <c r="E35" s="88">
        <v>1238</v>
      </c>
      <c r="F35" s="87">
        <v>958</v>
      </c>
      <c r="G35" s="89">
        <f>1095*2</f>
        <v>2190</v>
      </c>
      <c r="H35" s="88">
        <f>469*2</f>
        <v>938</v>
      </c>
      <c r="I35" s="88">
        <f t="shared" si="7"/>
        <v>1304</v>
      </c>
      <c r="J35" s="88">
        <f t="shared" si="8"/>
        <v>2190</v>
      </c>
      <c r="K35" s="88">
        <f t="shared" si="9"/>
        <v>938</v>
      </c>
      <c r="L35" s="92">
        <f t="shared" si="10"/>
        <v>1.3347547974413647</v>
      </c>
      <c r="M35" s="81"/>
      <c r="N35" s="110"/>
      <c r="O35" s="17"/>
      <c r="P35" s="17"/>
      <c r="Q35" s="17"/>
      <c r="R35" s="17"/>
      <c r="S35" s="17"/>
    </row>
    <row r="36" spans="1:19" ht="30">
      <c r="A36" s="11" t="s">
        <v>129</v>
      </c>
      <c r="B36" s="87">
        <v>259</v>
      </c>
      <c r="C36" s="88">
        <v>416</v>
      </c>
      <c r="D36" s="88">
        <v>299</v>
      </c>
      <c r="E36" s="88">
        <v>299</v>
      </c>
      <c r="F36" s="88">
        <v>269</v>
      </c>
      <c r="G36" s="88">
        <f>189/0.454</f>
        <v>416.29955947136563</v>
      </c>
      <c r="H36" s="89">
        <v>548</v>
      </c>
      <c r="I36" s="88">
        <f t="shared" si="7"/>
        <v>358.0427942101951</v>
      </c>
      <c r="J36" s="88">
        <f t="shared" si="8"/>
        <v>548</v>
      </c>
      <c r="K36" s="88">
        <f t="shared" si="9"/>
        <v>259</v>
      </c>
      <c r="L36" s="92">
        <f t="shared" si="10"/>
        <v>1.1158301158301158</v>
      </c>
      <c r="M36" s="81"/>
      <c r="N36" s="111"/>
    </row>
    <row r="37" spans="1:19" ht="30">
      <c r="A37" s="11" t="s">
        <v>130</v>
      </c>
      <c r="B37" s="88">
        <v>479</v>
      </c>
      <c r="C37" s="88">
        <v>480</v>
      </c>
      <c r="D37" s="87">
        <v>470</v>
      </c>
      <c r="E37" s="88">
        <v>498</v>
      </c>
      <c r="F37" s="88">
        <v>538</v>
      </c>
      <c r="G37" s="88">
        <v>499.5</v>
      </c>
      <c r="H37" s="89">
        <v>598</v>
      </c>
      <c r="I37" s="88">
        <f t="shared" si="7"/>
        <v>508.92857142857144</v>
      </c>
      <c r="J37" s="88">
        <f t="shared" si="8"/>
        <v>598</v>
      </c>
      <c r="K37" s="88">
        <f t="shared" si="9"/>
        <v>470</v>
      </c>
      <c r="L37" s="92">
        <f t="shared" si="10"/>
        <v>0.2723404255319149</v>
      </c>
      <c r="M37" s="81"/>
    </row>
    <row r="38" spans="1:19" ht="30">
      <c r="A38" s="11" t="s">
        <v>131</v>
      </c>
      <c r="B38" s="87">
        <v>257</v>
      </c>
      <c r="C38" s="88">
        <v>497</v>
      </c>
      <c r="D38" s="88">
        <v>489</v>
      </c>
      <c r="E38" s="88">
        <v>489</v>
      </c>
      <c r="F38" s="88">
        <v>373</v>
      </c>
      <c r="G38" s="88">
        <v>498</v>
      </c>
      <c r="H38" s="89">
        <v>594</v>
      </c>
      <c r="I38" s="88">
        <f t="shared" si="7"/>
        <v>456.71428571428572</v>
      </c>
      <c r="J38" s="88">
        <f t="shared" si="8"/>
        <v>594</v>
      </c>
      <c r="K38" s="88">
        <f t="shared" si="9"/>
        <v>257</v>
      </c>
      <c r="L38" s="92">
        <f t="shared" si="10"/>
        <v>1.311284046692607</v>
      </c>
      <c r="M38" s="81"/>
    </row>
    <row r="39" spans="1:19">
      <c r="A39" s="11" t="s">
        <v>132</v>
      </c>
      <c r="B39" s="88">
        <v>195</v>
      </c>
      <c r="C39" s="87">
        <v>189</v>
      </c>
      <c r="D39" s="88">
        <f>115*2</f>
        <v>230</v>
      </c>
      <c r="E39" s="88">
        <v>230</v>
      </c>
      <c r="F39" s="88">
        <f>107.5*2</f>
        <v>215</v>
      </c>
      <c r="G39" s="88">
        <v>269</v>
      </c>
      <c r="H39" s="89">
        <v>295</v>
      </c>
      <c r="I39" s="88">
        <f t="shared" si="7"/>
        <v>231.85714285714286</v>
      </c>
      <c r="J39" s="88">
        <f t="shared" si="8"/>
        <v>295</v>
      </c>
      <c r="K39" s="88">
        <f t="shared" si="9"/>
        <v>189</v>
      </c>
      <c r="L39" s="92">
        <f t="shared" si="10"/>
        <v>0.56084656084656082</v>
      </c>
    </row>
    <row r="40" spans="1:19" ht="30">
      <c r="A40" s="11" t="s">
        <v>133</v>
      </c>
      <c r="B40" s="88">
        <v>368</v>
      </c>
      <c r="C40" s="87">
        <f>279/0.85</f>
        <v>328.23529411764707</v>
      </c>
      <c r="D40" s="88">
        <v>458</v>
      </c>
      <c r="E40" s="88">
        <v>458</v>
      </c>
      <c r="F40" s="88">
        <f>355/0.85</f>
        <v>417.64705882352945</v>
      </c>
      <c r="G40" s="88">
        <v>385</v>
      </c>
      <c r="H40" s="89">
        <v>500</v>
      </c>
      <c r="I40" s="88">
        <f t="shared" si="7"/>
        <v>416.41176470588238</v>
      </c>
      <c r="J40" s="88">
        <f t="shared" si="8"/>
        <v>500</v>
      </c>
      <c r="K40" s="88">
        <f t="shared" si="9"/>
        <v>328.23529411764707</v>
      </c>
      <c r="L40" s="92">
        <f>(J40-K40)/K40</f>
        <v>0.52329749103942647</v>
      </c>
    </row>
    <row r="41" spans="1:19" ht="33.75" thickBot="1">
      <c r="A41" s="11" t="s">
        <v>134</v>
      </c>
      <c r="B41" s="87">
        <v>305</v>
      </c>
      <c r="C41" s="88">
        <f>259/0.612</f>
        <v>423.20261437908499</v>
      </c>
      <c r="D41" s="88">
        <f>282/0.612</f>
        <v>460.78431372549022</v>
      </c>
      <c r="E41" s="88">
        <f>280/0.612</f>
        <v>457.51633986928107</v>
      </c>
      <c r="F41" s="89">
        <f>294/0.612</f>
        <v>480.39215686274508</v>
      </c>
      <c r="G41" s="88">
        <f>282/0.612</f>
        <v>460.78431372549022</v>
      </c>
      <c r="H41" s="88">
        <f>269/0.612</f>
        <v>439.5424836601307</v>
      </c>
      <c r="I41" s="88">
        <f t="shared" si="7"/>
        <v>432.46031746031747</v>
      </c>
      <c r="J41" s="88">
        <f t="shared" si="8"/>
        <v>480.39215686274508</v>
      </c>
      <c r="K41" s="88">
        <f t="shared" si="9"/>
        <v>305</v>
      </c>
      <c r="L41" s="92">
        <f t="shared" si="10"/>
        <v>0.57505625200900023</v>
      </c>
      <c r="M41" s="81"/>
    </row>
    <row r="42" spans="1:19" ht="15.75" thickBot="1">
      <c r="A42" s="8" t="s">
        <v>72</v>
      </c>
      <c r="B42" s="99"/>
      <c r="C42" s="99"/>
      <c r="D42" s="99"/>
      <c r="E42" s="99"/>
      <c r="F42" s="99"/>
      <c r="G42" s="99"/>
      <c r="H42" s="99"/>
      <c r="I42" s="99"/>
      <c r="J42" s="100"/>
      <c r="K42" s="100"/>
      <c r="L42" s="101"/>
      <c r="M42" s="81"/>
    </row>
    <row r="43" spans="1:19" ht="15">
      <c r="A43" s="11" t="s">
        <v>135</v>
      </c>
      <c r="B43" s="87">
        <v>498</v>
      </c>
      <c r="C43" s="88">
        <v>499</v>
      </c>
      <c r="D43" s="88">
        <v>567</v>
      </c>
      <c r="E43" s="88">
        <v>557</v>
      </c>
      <c r="F43" s="89">
        <v>585</v>
      </c>
      <c r="G43" s="88">
        <v>549</v>
      </c>
      <c r="H43" s="88">
        <v>499</v>
      </c>
      <c r="I43" s="88">
        <f>AVERAGE(B43:H43)</f>
        <v>536.28571428571433</v>
      </c>
      <c r="J43" s="88">
        <f>MAX(B43:H43)</f>
        <v>585</v>
      </c>
      <c r="K43" s="88">
        <f>MIN(B43:H43)</f>
        <v>498</v>
      </c>
      <c r="L43" s="92">
        <f>(J43-K43)/K43</f>
        <v>0.1746987951807229</v>
      </c>
    </row>
    <row r="44" spans="1:19" ht="30">
      <c r="A44" s="11" t="s">
        <v>136</v>
      </c>
      <c r="B44" s="87">
        <v>588</v>
      </c>
      <c r="C44" s="88" t="s">
        <v>13</v>
      </c>
      <c r="D44" s="88">
        <v>629</v>
      </c>
      <c r="E44" s="88">
        <v>599</v>
      </c>
      <c r="F44" s="89">
        <v>897</v>
      </c>
      <c r="G44" s="88">
        <v>651</v>
      </c>
      <c r="H44" s="88" t="s">
        <v>43</v>
      </c>
      <c r="I44" s="88">
        <f>AVERAGE(B44:H44)</f>
        <v>672.8</v>
      </c>
      <c r="J44" s="88">
        <f>MAX(B44:H44)</f>
        <v>897</v>
      </c>
      <c r="K44" s="88">
        <f>MIN(B44:H44)</f>
        <v>588</v>
      </c>
      <c r="L44" s="92">
        <f>(J44-K44)/K44</f>
        <v>0.52551020408163263</v>
      </c>
      <c r="M44" s="81"/>
    </row>
    <row r="45" spans="1:19" ht="29.25" thickBot="1">
      <c r="A45" s="11" t="s">
        <v>137</v>
      </c>
      <c r="B45" s="88" t="s">
        <v>13</v>
      </c>
      <c r="C45" s="88">
        <v>439</v>
      </c>
      <c r="D45" s="87">
        <v>338</v>
      </c>
      <c r="E45" s="87">
        <v>338</v>
      </c>
      <c r="F45" s="88" t="s">
        <v>43</v>
      </c>
      <c r="G45" s="88" t="s">
        <v>13</v>
      </c>
      <c r="H45" s="89">
        <v>445</v>
      </c>
      <c r="I45" s="88">
        <f>AVERAGE(B45:H45)</f>
        <v>390</v>
      </c>
      <c r="J45" s="88">
        <f>MAX(B45:H45)</f>
        <v>445</v>
      </c>
      <c r="K45" s="88">
        <f>MIN(B45:H45)</f>
        <v>338</v>
      </c>
      <c r="L45" s="92">
        <f>(J45-K45)/K45</f>
        <v>0.31656804733727811</v>
      </c>
    </row>
    <row r="46" spans="1:19" ht="15.75" thickBot="1">
      <c r="A46" s="8" t="s">
        <v>32</v>
      </c>
      <c r="B46" s="99"/>
      <c r="C46" s="99"/>
      <c r="D46" s="99"/>
      <c r="E46" s="99"/>
      <c r="F46" s="99"/>
      <c r="G46" s="99"/>
      <c r="H46" s="99"/>
      <c r="I46" s="99"/>
      <c r="J46" s="100"/>
      <c r="K46" s="100"/>
      <c r="L46" s="101"/>
    </row>
    <row r="47" spans="1:19" ht="29.25">
      <c r="A47" s="11" t="s">
        <v>138</v>
      </c>
      <c r="B47" s="88">
        <v>429</v>
      </c>
      <c r="C47" s="87">
        <v>396</v>
      </c>
      <c r="D47" s="88">
        <v>435</v>
      </c>
      <c r="E47" s="88">
        <v>435</v>
      </c>
      <c r="F47" s="89">
        <v>549</v>
      </c>
      <c r="G47" s="88">
        <v>489</v>
      </c>
      <c r="H47" s="88">
        <v>548</v>
      </c>
      <c r="I47" s="88">
        <f t="shared" ref="I47:I57" si="11">AVERAGE(B47:H47)</f>
        <v>468.71428571428572</v>
      </c>
      <c r="J47" s="88">
        <f t="shared" ref="J47:J57" si="12">MAX(B47:H47)</f>
        <v>549</v>
      </c>
      <c r="K47" s="88">
        <f t="shared" ref="K47:K57" si="13">MIN(B47:H47)</f>
        <v>396</v>
      </c>
      <c r="L47" s="92">
        <f>(J47-K47)/K47</f>
        <v>0.38636363636363635</v>
      </c>
      <c r="M47" s="81"/>
    </row>
    <row r="48" spans="1:19" ht="30.75" thickBot="1">
      <c r="A48" s="11" t="s">
        <v>139</v>
      </c>
      <c r="B48" s="112">
        <v>219</v>
      </c>
      <c r="C48" s="113">
        <v>220</v>
      </c>
      <c r="D48" s="113">
        <v>239</v>
      </c>
      <c r="E48" s="113">
        <v>237</v>
      </c>
      <c r="F48" s="114">
        <v>389</v>
      </c>
      <c r="G48" s="113">
        <v>298</v>
      </c>
      <c r="H48" s="113">
        <v>375</v>
      </c>
      <c r="I48" s="113">
        <f t="shared" si="11"/>
        <v>282.42857142857144</v>
      </c>
      <c r="J48" s="113">
        <f t="shared" si="12"/>
        <v>389</v>
      </c>
      <c r="K48" s="113">
        <f t="shared" si="13"/>
        <v>219</v>
      </c>
      <c r="L48" s="115">
        <f>(J48-K48)/K48</f>
        <v>0.77625570776255703</v>
      </c>
      <c r="M48" s="81"/>
    </row>
    <row r="49" spans="1:12" ht="30">
      <c r="A49" s="11" t="s">
        <v>140</v>
      </c>
      <c r="B49" s="88">
        <v>198</v>
      </c>
      <c r="C49" s="88">
        <v>259</v>
      </c>
      <c r="D49" s="87">
        <v>169</v>
      </c>
      <c r="E49" s="87">
        <v>169</v>
      </c>
      <c r="F49" s="88" t="s">
        <v>17</v>
      </c>
      <c r="G49" s="88">
        <v>259</v>
      </c>
      <c r="H49" s="89">
        <v>275</v>
      </c>
      <c r="I49" s="88">
        <f t="shared" si="11"/>
        <v>221.5</v>
      </c>
      <c r="J49" s="88">
        <f t="shared" si="12"/>
        <v>275</v>
      </c>
      <c r="K49" s="88">
        <f t="shared" si="13"/>
        <v>169</v>
      </c>
      <c r="L49" s="92">
        <f t="shared" ref="L49:L57" si="14">(J49-K49)/K49</f>
        <v>0.62721893491124259</v>
      </c>
    </row>
    <row r="50" spans="1:12" ht="30.75" thickBot="1">
      <c r="A50" s="11" t="s">
        <v>141</v>
      </c>
      <c r="B50" s="113">
        <v>175</v>
      </c>
      <c r="C50" s="112">
        <v>165</v>
      </c>
      <c r="D50" s="113">
        <v>169</v>
      </c>
      <c r="E50" s="113">
        <v>183</v>
      </c>
      <c r="F50" s="114">
        <v>295</v>
      </c>
      <c r="G50" s="113">
        <v>189</v>
      </c>
      <c r="H50" s="113">
        <v>285</v>
      </c>
      <c r="I50" s="113">
        <f t="shared" si="11"/>
        <v>208.71428571428572</v>
      </c>
      <c r="J50" s="113">
        <f t="shared" si="12"/>
        <v>295</v>
      </c>
      <c r="K50" s="113">
        <f t="shared" si="13"/>
        <v>165</v>
      </c>
      <c r="L50" s="115">
        <f t="shared" si="14"/>
        <v>0.78787878787878785</v>
      </c>
    </row>
    <row r="51" spans="1:12" ht="15.75" thickBot="1">
      <c r="A51" s="11" t="s">
        <v>142</v>
      </c>
      <c r="B51" s="87">
        <v>397</v>
      </c>
      <c r="C51" s="88" t="s">
        <v>13</v>
      </c>
      <c r="D51" s="88">
        <v>452</v>
      </c>
      <c r="E51" s="88">
        <v>451</v>
      </c>
      <c r="F51" s="113" t="s">
        <v>13</v>
      </c>
      <c r="G51" s="88">
        <v>499</v>
      </c>
      <c r="H51" s="89">
        <v>587</v>
      </c>
      <c r="I51" s="88">
        <f t="shared" si="11"/>
        <v>477.2</v>
      </c>
      <c r="J51" s="88">
        <f t="shared" si="12"/>
        <v>587</v>
      </c>
      <c r="K51" s="88">
        <f t="shared" si="13"/>
        <v>397</v>
      </c>
      <c r="L51" s="92">
        <f t="shared" si="14"/>
        <v>0.47858942065491183</v>
      </c>
    </row>
    <row r="52" spans="1:12" ht="30.75" thickBot="1">
      <c r="A52" s="11" t="s">
        <v>143</v>
      </c>
      <c r="B52" s="112">
        <v>295</v>
      </c>
      <c r="C52" s="113">
        <v>296</v>
      </c>
      <c r="D52" s="113">
        <v>309</v>
      </c>
      <c r="E52" s="113">
        <v>299</v>
      </c>
      <c r="F52" s="114">
        <v>449</v>
      </c>
      <c r="G52" s="113">
        <v>399</v>
      </c>
      <c r="H52" s="113">
        <v>399</v>
      </c>
      <c r="I52" s="113">
        <f t="shared" si="11"/>
        <v>349.42857142857144</v>
      </c>
      <c r="J52" s="113">
        <f t="shared" si="12"/>
        <v>449</v>
      </c>
      <c r="K52" s="113">
        <f t="shared" si="13"/>
        <v>295</v>
      </c>
      <c r="L52" s="115">
        <f t="shared" si="14"/>
        <v>0.52203389830508473</v>
      </c>
    </row>
    <row r="53" spans="1:12" ht="30">
      <c r="A53" s="11" t="s">
        <v>144</v>
      </c>
      <c r="B53" s="87">
        <v>189</v>
      </c>
      <c r="C53" s="89">
        <v>468</v>
      </c>
      <c r="D53" s="88">
        <v>169</v>
      </c>
      <c r="E53" s="88">
        <v>277</v>
      </c>
      <c r="F53" s="88">
        <v>308</v>
      </c>
      <c r="G53" s="88">
        <f>198*2</f>
        <v>396</v>
      </c>
      <c r="H53" s="88">
        <v>439</v>
      </c>
      <c r="I53" s="88">
        <f t="shared" si="11"/>
        <v>320.85714285714283</v>
      </c>
      <c r="J53" s="88">
        <f t="shared" si="12"/>
        <v>468</v>
      </c>
      <c r="K53" s="88">
        <f t="shared" si="13"/>
        <v>169</v>
      </c>
      <c r="L53" s="92">
        <f t="shared" si="14"/>
        <v>1.7692307692307692</v>
      </c>
    </row>
    <row r="54" spans="1:12" ht="30" thickBot="1">
      <c r="A54" s="11" t="s">
        <v>145</v>
      </c>
      <c r="B54" s="112">
        <v>429</v>
      </c>
      <c r="C54" s="113">
        <v>430</v>
      </c>
      <c r="D54" s="113">
        <v>433</v>
      </c>
      <c r="E54" s="113">
        <v>433</v>
      </c>
      <c r="F54" s="114">
        <v>597</v>
      </c>
      <c r="G54" s="113">
        <v>498</v>
      </c>
      <c r="H54" s="113">
        <v>595</v>
      </c>
      <c r="I54" s="113">
        <f t="shared" si="11"/>
        <v>487.85714285714283</v>
      </c>
      <c r="J54" s="113">
        <f t="shared" si="12"/>
        <v>597</v>
      </c>
      <c r="K54" s="113">
        <f t="shared" si="13"/>
        <v>429</v>
      </c>
      <c r="L54" s="115">
        <f t="shared" si="14"/>
        <v>0.39160839160839161</v>
      </c>
    </row>
    <row r="55" spans="1:12" ht="30">
      <c r="A55" s="11" t="s">
        <v>146</v>
      </c>
      <c r="B55" s="88">
        <f>468/0.2</f>
        <v>2340</v>
      </c>
      <c r="C55" s="88">
        <v>2646</v>
      </c>
      <c r="D55" s="87">
        <f>486/0.3</f>
        <v>1620</v>
      </c>
      <c r="E55" s="87">
        <f>486/0.3</f>
        <v>1620</v>
      </c>
      <c r="F55" s="89">
        <f>599/0.2</f>
        <v>2995</v>
      </c>
      <c r="G55" s="88">
        <f>559/0.3</f>
        <v>1863.3333333333335</v>
      </c>
      <c r="H55" s="88">
        <f>589/0.3</f>
        <v>1963.3333333333335</v>
      </c>
      <c r="I55" s="88">
        <f t="shared" si="11"/>
        <v>2149.666666666667</v>
      </c>
      <c r="J55" s="88">
        <f t="shared" si="12"/>
        <v>2995</v>
      </c>
      <c r="K55" s="88">
        <f t="shared" si="13"/>
        <v>1620</v>
      </c>
      <c r="L55" s="92">
        <f t="shared" si="14"/>
        <v>0.84876543209876543</v>
      </c>
    </row>
    <row r="56" spans="1:12" ht="15.75" thickBot="1">
      <c r="A56" s="11" t="s">
        <v>147</v>
      </c>
      <c r="B56" s="112">
        <v>219</v>
      </c>
      <c r="C56" s="113">
        <v>228</v>
      </c>
      <c r="D56" s="113">
        <v>224</v>
      </c>
      <c r="E56" s="113">
        <v>375</v>
      </c>
      <c r="F56" s="114">
        <v>379</v>
      </c>
      <c r="G56" s="113">
        <v>298</v>
      </c>
      <c r="H56" s="113">
        <v>348</v>
      </c>
      <c r="I56" s="113">
        <f t="shared" si="11"/>
        <v>295.85714285714283</v>
      </c>
      <c r="J56" s="113">
        <f t="shared" si="12"/>
        <v>379</v>
      </c>
      <c r="K56" s="113">
        <f t="shared" si="13"/>
        <v>219</v>
      </c>
      <c r="L56" s="115">
        <f t="shared" si="14"/>
        <v>0.73059360730593603</v>
      </c>
    </row>
    <row r="57" spans="1:12" ht="30.75" thickBot="1">
      <c r="A57" s="11" t="s">
        <v>148</v>
      </c>
      <c r="B57" s="87">
        <v>298</v>
      </c>
      <c r="C57" s="88">
        <v>299</v>
      </c>
      <c r="D57" s="88">
        <v>329</v>
      </c>
      <c r="E57" s="88">
        <v>329</v>
      </c>
      <c r="F57" s="88">
        <v>447</v>
      </c>
      <c r="G57" s="89">
        <v>449</v>
      </c>
      <c r="H57" s="88">
        <v>446</v>
      </c>
      <c r="I57" s="88">
        <f t="shared" si="11"/>
        <v>371</v>
      </c>
      <c r="J57" s="88">
        <f t="shared" si="12"/>
        <v>449</v>
      </c>
      <c r="K57" s="88">
        <f t="shared" si="13"/>
        <v>298</v>
      </c>
      <c r="L57" s="92">
        <f t="shared" si="14"/>
        <v>0.50671140939597314</v>
      </c>
    </row>
    <row r="58" spans="1:12" ht="15.75" thickBot="1">
      <c r="A58" s="8" t="s">
        <v>76</v>
      </c>
      <c r="B58" s="99"/>
      <c r="C58" s="99"/>
      <c r="D58" s="99"/>
      <c r="E58" s="99"/>
      <c r="F58" s="99"/>
      <c r="G58" s="99"/>
      <c r="H58" s="99"/>
      <c r="I58" s="99"/>
      <c r="J58" s="100"/>
      <c r="K58" s="100"/>
      <c r="L58" s="101"/>
    </row>
    <row r="59" spans="1:12" ht="15.75" thickBot="1">
      <c r="A59" s="11" t="s">
        <v>149</v>
      </c>
      <c r="B59" s="113" t="s">
        <v>13</v>
      </c>
      <c r="C59" s="112">
        <v>104</v>
      </c>
      <c r="D59" s="113">
        <v>109</v>
      </c>
      <c r="E59" s="113">
        <v>109</v>
      </c>
      <c r="F59" s="113">
        <v>123</v>
      </c>
      <c r="G59" s="113">
        <v>115</v>
      </c>
      <c r="H59" s="114">
        <v>124</v>
      </c>
      <c r="I59" s="113">
        <f t="shared" ref="I59:I64" si="15">AVERAGE(B59:H59)</f>
        <v>114</v>
      </c>
      <c r="J59" s="113">
        <f t="shared" ref="J59:J64" si="16">MAX(B59:H59)</f>
        <v>124</v>
      </c>
      <c r="K59" s="113">
        <f t="shared" ref="K59:K64" si="17">MIN(B59:H59)</f>
        <v>104</v>
      </c>
      <c r="L59" s="115">
        <f t="shared" ref="L59:L64" si="18">(J59-K59)/K59</f>
        <v>0.19230769230769232</v>
      </c>
    </row>
    <row r="60" spans="1:12" ht="30.75" thickBot="1">
      <c r="A60" s="11" t="s">
        <v>150</v>
      </c>
      <c r="B60" s="112">
        <v>98</v>
      </c>
      <c r="C60" s="113">
        <v>104</v>
      </c>
      <c r="D60" s="113">
        <v>109</v>
      </c>
      <c r="E60" s="113">
        <v>109</v>
      </c>
      <c r="F60" s="113">
        <v>123</v>
      </c>
      <c r="G60" s="113">
        <v>115</v>
      </c>
      <c r="H60" s="114">
        <v>124</v>
      </c>
      <c r="I60" s="113">
        <f t="shared" si="15"/>
        <v>111.71428571428571</v>
      </c>
      <c r="J60" s="113">
        <f t="shared" si="16"/>
        <v>124</v>
      </c>
      <c r="K60" s="113">
        <f t="shared" si="17"/>
        <v>98</v>
      </c>
      <c r="L60" s="115">
        <f t="shared" si="18"/>
        <v>0.26530612244897961</v>
      </c>
    </row>
    <row r="61" spans="1:12" ht="15.75" thickBot="1">
      <c r="A61" s="11" t="s">
        <v>151</v>
      </c>
      <c r="B61" s="112">
        <v>93</v>
      </c>
      <c r="C61" s="113">
        <v>94</v>
      </c>
      <c r="D61" s="113">
        <v>99</v>
      </c>
      <c r="E61" s="113">
        <v>97</v>
      </c>
      <c r="F61" s="113">
        <v>116</v>
      </c>
      <c r="G61" s="113">
        <v>115</v>
      </c>
      <c r="H61" s="114">
        <v>117</v>
      </c>
      <c r="I61" s="113">
        <f t="shared" si="15"/>
        <v>104.42857142857143</v>
      </c>
      <c r="J61" s="113">
        <f t="shared" si="16"/>
        <v>117</v>
      </c>
      <c r="K61" s="113">
        <f t="shared" si="17"/>
        <v>93</v>
      </c>
      <c r="L61" s="115">
        <f t="shared" si="18"/>
        <v>0.25806451612903225</v>
      </c>
    </row>
    <row r="62" spans="1:12" ht="30.75" thickBot="1">
      <c r="A62" s="11" t="s">
        <v>152</v>
      </c>
      <c r="B62" s="112">
        <v>95</v>
      </c>
      <c r="C62" s="113">
        <v>108</v>
      </c>
      <c r="D62" s="113">
        <v>109</v>
      </c>
      <c r="E62" s="113">
        <v>108</v>
      </c>
      <c r="F62" s="113">
        <v>123</v>
      </c>
      <c r="G62" s="114">
        <v>129</v>
      </c>
      <c r="H62" s="114">
        <v>129</v>
      </c>
      <c r="I62" s="113">
        <f t="shared" si="15"/>
        <v>114.42857142857143</v>
      </c>
      <c r="J62" s="113">
        <f t="shared" si="16"/>
        <v>129</v>
      </c>
      <c r="K62" s="113">
        <f t="shared" si="17"/>
        <v>95</v>
      </c>
      <c r="L62" s="115">
        <f t="shared" si="18"/>
        <v>0.35789473684210527</v>
      </c>
    </row>
    <row r="63" spans="1:12" ht="15.75" thickBot="1">
      <c r="A63" s="11" t="s">
        <v>79</v>
      </c>
      <c r="B63" s="112">
        <v>209</v>
      </c>
      <c r="C63" s="113">
        <v>210</v>
      </c>
      <c r="D63" s="113">
        <v>213</v>
      </c>
      <c r="E63" s="113">
        <v>211</v>
      </c>
      <c r="F63" s="113">
        <v>224</v>
      </c>
      <c r="G63" s="113">
        <v>215</v>
      </c>
      <c r="H63" s="114">
        <v>225</v>
      </c>
      <c r="I63" s="113">
        <f t="shared" si="15"/>
        <v>215.28571428571428</v>
      </c>
      <c r="J63" s="113">
        <f t="shared" si="16"/>
        <v>225</v>
      </c>
      <c r="K63" s="113">
        <f t="shared" si="17"/>
        <v>209</v>
      </c>
      <c r="L63" s="115">
        <f t="shared" si="18"/>
        <v>7.6555023923444973E-2</v>
      </c>
    </row>
    <row r="64" spans="1:12" ht="30.75" thickBot="1">
      <c r="A64" s="11" t="s">
        <v>153</v>
      </c>
      <c r="B64" s="112">
        <v>79</v>
      </c>
      <c r="C64" s="113">
        <v>80</v>
      </c>
      <c r="D64" s="113">
        <v>95</v>
      </c>
      <c r="E64" s="113">
        <v>93</v>
      </c>
      <c r="F64" s="113">
        <v>94</v>
      </c>
      <c r="G64" s="113">
        <v>89</v>
      </c>
      <c r="H64" s="114">
        <v>96</v>
      </c>
      <c r="I64" s="113">
        <f t="shared" si="15"/>
        <v>89.428571428571431</v>
      </c>
      <c r="J64" s="113">
        <f t="shared" si="16"/>
        <v>96</v>
      </c>
      <c r="K64" s="113">
        <f t="shared" si="17"/>
        <v>79</v>
      </c>
      <c r="L64" s="115">
        <f t="shared" si="18"/>
        <v>0.21518987341772153</v>
      </c>
    </row>
    <row r="65" spans="1:12" ht="15.75" thickBot="1">
      <c r="A65" s="8" t="s">
        <v>81</v>
      </c>
      <c r="B65" s="99"/>
      <c r="C65" s="99"/>
      <c r="D65" s="99"/>
      <c r="E65" s="99"/>
      <c r="F65" s="99"/>
      <c r="G65" s="99"/>
      <c r="H65" s="99"/>
      <c r="I65" s="99"/>
      <c r="J65" s="100"/>
      <c r="K65" s="100"/>
      <c r="L65" s="101"/>
    </row>
    <row r="66" spans="1:12" ht="30.75" thickBot="1">
      <c r="A66" s="11" t="s">
        <v>154</v>
      </c>
      <c r="B66" s="112">
        <f>349/0.6</f>
        <v>581.66666666666674</v>
      </c>
      <c r="C66" s="113">
        <v>597</v>
      </c>
      <c r="D66" s="113">
        <f>398/0.594</f>
        <v>670.03367003367009</v>
      </c>
      <c r="E66" s="113">
        <f>398/0.594</f>
        <v>670.03367003367009</v>
      </c>
      <c r="F66" s="114">
        <v>787</v>
      </c>
      <c r="G66" s="113">
        <f>359/0.595</f>
        <v>603.36134453781517</v>
      </c>
      <c r="H66" s="113">
        <f>198/0.3</f>
        <v>660</v>
      </c>
      <c r="I66" s="113">
        <f>AVERAGE(B66:H66)</f>
        <v>652.72790732454609</v>
      </c>
      <c r="J66" s="113">
        <f>MAX(B66:H66)</f>
        <v>787</v>
      </c>
      <c r="K66" s="113">
        <f>MIN(B66:H66)</f>
        <v>581.66666666666674</v>
      </c>
      <c r="L66" s="115">
        <f>(J66-K66)/K66</f>
        <v>0.35300859598853851</v>
      </c>
    </row>
    <row r="67" spans="1:12" ht="30" thickBot="1">
      <c r="A67" s="11" t="s">
        <v>155</v>
      </c>
      <c r="B67" s="112">
        <v>2398</v>
      </c>
      <c r="C67" s="113">
        <v>3596</v>
      </c>
      <c r="D67" s="114">
        <v>3679</v>
      </c>
      <c r="E67" s="113" t="s">
        <v>13</v>
      </c>
      <c r="F67" s="113">
        <v>2699</v>
      </c>
      <c r="G67" s="113">
        <f>2749/0.8</f>
        <v>3436.25</v>
      </c>
      <c r="H67" s="113">
        <v>3168</v>
      </c>
      <c r="I67" s="113">
        <f>AVERAGE(B67:H67)</f>
        <v>3162.7083333333335</v>
      </c>
      <c r="J67" s="113">
        <f>MAX(B67:H67)</f>
        <v>3679</v>
      </c>
      <c r="K67" s="113">
        <f>MIN(B67:H67)</f>
        <v>2398</v>
      </c>
      <c r="L67" s="115">
        <f>(J67-K67)/K67</f>
        <v>0.53419516263552957</v>
      </c>
    </row>
    <row r="68" spans="1:12" ht="15.75" thickBot="1">
      <c r="A68" s="11" t="s">
        <v>156</v>
      </c>
      <c r="B68" s="113" t="s">
        <v>13</v>
      </c>
      <c r="C68" s="113" t="s">
        <v>13</v>
      </c>
      <c r="D68" s="113">
        <v>349</v>
      </c>
      <c r="E68" s="113">
        <v>345</v>
      </c>
      <c r="F68" s="113">
        <v>445</v>
      </c>
      <c r="G68" s="112">
        <v>299</v>
      </c>
      <c r="H68" s="114">
        <v>449</v>
      </c>
      <c r="I68" s="113">
        <f>AVERAGE(B68:H68)</f>
        <v>377.4</v>
      </c>
      <c r="J68" s="113">
        <f>MAX(B68:H68)</f>
        <v>449</v>
      </c>
      <c r="K68" s="113">
        <f>MIN(B68:H68)</f>
        <v>299</v>
      </c>
      <c r="L68" s="115">
        <f>(J68-K68)/K68</f>
        <v>0.50167224080267558</v>
      </c>
    </row>
    <row r="69" spans="1:12" ht="45.75" thickBot="1">
      <c r="A69" s="11" t="s">
        <v>157</v>
      </c>
      <c r="B69" s="112">
        <v>898</v>
      </c>
      <c r="C69" s="113">
        <f>398/0.35</f>
        <v>1137.1428571428571</v>
      </c>
      <c r="D69" s="113">
        <f>359/0.3</f>
        <v>1196.6666666666667</v>
      </c>
      <c r="E69" s="113">
        <f>359/0.3</f>
        <v>1196.6666666666667</v>
      </c>
      <c r="F69" s="113">
        <v>1320</v>
      </c>
      <c r="G69" s="113">
        <f>298/0.3</f>
        <v>993.33333333333337</v>
      </c>
      <c r="H69" s="114">
        <f>398/0.3</f>
        <v>1326.6666666666667</v>
      </c>
      <c r="I69" s="113">
        <f>AVERAGE(B69:H69)</f>
        <v>1152.639455782313</v>
      </c>
      <c r="J69" s="113">
        <f>MAX(B69:H69)</f>
        <v>1326.6666666666667</v>
      </c>
      <c r="K69" s="113">
        <f>MIN(B69:H69)</f>
        <v>898</v>
      </c>
      <c r="L69" s="115">
        <f>(J69-K69)/K69</f>
        <v>0.47735708982925029</v>
      </c>
    </row>
    <row r="70" spans="1:12" ht="15.75" thickBot="1">
      <c r="A70" s="8" t="s">
        <v>86</v>
      </c>
      <c r="B70" s="99"/>
      <c r="C70" s="116"/>
      <c r="D70" s="116"/>
      <c r="E70" s="99"/>
      <c r="F70" s="99"/>
      <c r="G70" s="99"/>
      <c r="H70" s="99"/>
      <c r="I70" s="99"/>
      <c r="J70" s="100"/>
      <c r="K70" s="100"/>
      <c r="L70" s="101"/>
    </row>
    <row r="71" spans="1:12" ht="15" thickBot="1">
      <c r="A71" s="11" t="s">
        <v>158</v>
      </c>
      <c r="B71" s="112">
        <v>332</v>
      </c>
      <c r="C71" s="113">
        <v>516</v>
      </c>
      <c r="D71" s="113" t="s">
        <v>13</v>
      </c>
      <c r="E71" s="113">
        <v>354.4</v>
      </c>
      <c r="F71" s="113">
        <v>415</v>
      </c>
      <c r="G71" s="113">
        <v>399</v>
      </c>
      <c r="H71" s="114">
        <v>519</v>
      </c>
      <c r="I71" s="113">
        <f>AVERAGE(B71:H71)</f>
        <v>422.56666666666666</v>
      </c>
      <c r="J71" s="113">
        <f>MAX(B71:H71)</f>
        <v>519</v>
      </c>
      <c r="K71" s="113">
        <f>MIN(B71:H71)</f>
        <v>332</v>
      </c>
      <c r="L71" s="115">
        <f>(J71-K71)/K71</f>
        <v>0.56325301204819278</v>
      </c>
    </row>
    <row r="72" spans="1:12" ht="15" thickBot="1">
      <c r="A72" s="11" t="s">
        <v>159</v>
      </c>
      <c r="B72" s="113" t="s">
        <v>13</v>
      </c>
      <c r="C72" s="113">
        <v>364</v>
      </c>
      <c r="D72" s="112">
        <v>321</v>
      </c>
      <c r="E72" s="113" t="s">
        <v>13</v>
      </c>
      <c r="F72" s="113" t="s">
        <v>13</v>
      </c>
      <c r="G72" s="113" t="s">
        <v>13</v>
      </c>
      <c r="H72" s="114">
        <v>367</v>
      </c>
      <c r="I72" s="113">
        <f>AVERAGE(B72:H72)</f>
        <v>350.66666666666669</v>
      </c>
      <c r="J72" s="113">
        <f>MAX(B72:H72)</f>
        <v>367</v>
      </c>
      <c r="K72" s="113">
        <f>MIN(B72:H72)</f>
        <v>321</v>
      </c>
      <c r="L72" s="115">
        <f>(J72-K72)/K72</f>
        <v>0.14330218068535824</v>
      </c>
    </row>
    <row r="73" spans="1:12" ht="30" thickBot="1">
      <c r="A73" s="11" t="s">
        <v>160</v>
      </c>
      <c r="B73" s="112">
        <v>21</v>
      </c>
      <c r="C73" s="114">
        <v>34.928571428571431</v>
      </c>
      <c r="D73" s="113">
        <v>28</v>
      </c>
      <c r="E73" s="113">
        <v>32.375</v>
      </c>
      <c r="F73" s="113" t="s">
        <v>13</v>
      </c>
      <c r="G73" s="113">
        <v>33.25</v>
      </c>
      <c r="H73" s="113">
        <v>29.3125</v>
      </c>
      <c r="I73" s="113">
        <f>AVERAGE(B73:H73)</f>
        <v>29.811011904761909</v>
      </c>
      <c r="J73" s="113">
        <f>MAX(B73:H73)</f>
        <v>34.928571428571431</v>
      </c>
      <c r="K73" s="113">
        <f>MIN(B73:H73)</f>
        <v>21</v>
      </c>
      <c r="L73" s="115">
        <f>(J73-K73)/K73</f>
        <v>0.66326530612244905</v>
      </c>
    </row>
    <row r="74" spans="1:12" ht="30.75" thickBot="1">
      <c r="A74" s="11" t="s">
        <v>161</v>
      </c>
      <c r="B74" s="113">
        <v>27.96</v>
      </c>
      <c r="C74" s="112">
        <v>23</v>
      </c>
      <c r="D74" s="114">
        <v>36.344827586206897</v>
      </c>
      <c r="E74" s="113">
        <v>34.448275862068968</v>
      </c>
      <c r="F74" s="113">
        <v>28.16</v>
      </c>
      <c r="G74" s="113">
        <v>32.064516129032256</v>
      </c>
      <c r="H74" s="113">
        <v>33.299999999999997</v>
      </c>
      <c r="I74" s="113">
        <f>AVERAGE(B74:H74)</f>
        <v>30.753945653901162</v>
      </c>
      <c r="J74" s="113">
        <f>MAX(B74:H74)</f>
        <v>36.344827586206897</v>
      </c>
      <c r="K74" s="113">
        <f>MIN(B74:H74)</f>
        <v>23</v>
      </c>
      <c r="L74" s="115">
        <f>(J74-K74)/K74</f>
        <v>0.58020989505247378</v>
      </c>
    </row>
    <row r="75" spans="1:12">
      <c r="B75" s="36"/>
      <c r="C75" s="36"/>
      <c r="D75" s="36"/>
      <c r="E75" s="36"/>
      <c r="F75" s="36"/>
      <c r="G75" s="36"/>
      <c r="H75" s="36"/>
    </row>
    <row r="76" spans="1:12">
      <c r="B76" s="36"/>
      <c r="C76" s="36"/>
      <c r="D76" s="36"/>
      <c r="E76" s="36"/>
      <c r="F76" s="36"/>
      <c r="G76" s="36"/>
      <c r="H76" s="36"/>
    </row>
    <row r="77" spans="1:12">
      <c r="B77" s="36"/>
      <c r="C77" s="36"/>
      <c r="D77" s="36"/>
      <c r="E77" s="36"/>
      <c r="F77" s="36"/>
      <c r="G77" s="36"/>
      <c r="H77" s="36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A17" sqref="A17"/>
    </sheetView>
  </sheetViews>
  <sheetFormatPr defaultRowHeight="15"/>
  <cols>
    <col min="1" max="1" width="31.42578125" style="4" customWidth="1"/>
    <col min="2" max="5" width="10.7109375" style="122" customWidth="1"/>
    <col min="6" max="6" width="10.7109375" style="123" customWidth="1"/>
    <col min="7" max="10" width="10.7109375" style="7" customWidth="1"/>
    <col min="11" max="13" width="10.7109375" style="122" customWidth="1"/>
  </cols>
  <sheetData>
    <row r="1" spans="1:13" ht="129.75" customHeight="1" thickBot="1">
      <c r="A1" s="124" t="s">
        <v>175</v>
      </c>
      <c r="B1" s="128" t="s">
        <v>162</v>
      </c>
      <c r="C1" s="129"/>
      <c r="D1" s="130"/>
      <c r="E1" s="131" t="s">
        <v>163</v>
      </c>
      <c r="F1" s="132" t="s">
        <v>164</v>
      </c>
      <c r="G1" s="133"/>
      <c r="H1" s="134" t="s">
        <v>165</v>
      </c>
      <c r="I1" s="135" t="s">
        <v>166</v>
      </c>
      <c r="J1" s="136"/>
      <c r="K1" s="137" t="s">
        <v>167</v>
      </c>
      <c r="L1" s="138" t="s">
        <v>168</v>
      </c>
      <c r="M1" s="139"/>
    </row>
    <row r="2" spans="1:13" ht="16.5" thickBot="1">
      <c r="A2" s="117"/>
      <c r="B2" s="118" t="s">
        <v>170</v>
      </c>
      <c r="C2" s="119" t="s">
        <v>171</v>
      </c>
      <c r="D2" s="120" t="s">
        <v>169</v>
      </c>
      <c r="E2" s="118" t="s">
        <v>170</v>
      </c>
      <c r="F2" s="119" t="s">
        <v>171</v>
      </c>
      <c r="G2" s="120" t="s">
        <v>169</v>
      </c>
      <c r="H2" s="118" t="s">
        <v>170</v>
      </c>
      <c r="I2" s="119" t="s">
        <v>171</v>
      </c>
      <c r="J2" s="120" t="s">
        <v>169</v>
      </c>
      <c r="K2" s="118" t="s">
        <v>170</v>
      </c>
      <c r="L2" s="119" t="s">
        <v>171</v>
      </c>
      <c r="M2" s="120" t="s">
        <v>169</v>
      </c>
    </row>
    <row r="3" spans="1:13" ht="30" customHeight="1">
      <c r="A3" s="41" t="s">
        <v>10</v>
      </c>
      <c r="B3" s="9">
        <v>259</v>
      </c>
      <c r="C3" s="88">
        <v>256</v>
      </c>
      <c r="D3" s="121">
        <f t="shared" ref="D3:D21" si="0">(C3-B3)/B3</f>
        <v>-1.1583011583011582E-2</v>
      </c>
      <c r="E3" s="9">
        <v>260</v>
      </c>
      <c r="F3" s="88">
        <v>257</v>
      </c>
      <c r="G3" s="121">
        <f t="shared" ref="G3:G21" si="1">(F3-E3)/E3</f>
        <v>-1.1538461538461539E-2</v>
      </c>
      <c r="H3" s="9">
        <v>267</v>
      </c>
      <c r="I3" s="88">
        <v>259</v>
      </c>
      <c r="J3" s="121">
        <f t="shared" ref="J3:J21" si="2">(I3-H3)/H3</f>
        <v>-2.9962546816479401E-2</v>
      </c>
      <c r="K3" s="88">
        <v>265</v>
      </c>
      <c r="L3" s="88">
        <v>258</v>
      </c>
      <c r="M3" s="121">
        <f t="shared" ref="M3:M21" si="3">(L3-K3)/K3</f>
        <v>-2.6415094339622643E-2</v>
      </c>
    </row>
    <row r="4" spans="1:13" ht="30" customHeight="1">
      <c r="A4" s="41" t="s">
        <v>15</v>
      </c>
      <c r="B4" s="9">
        <v>203</v>
      </c>
      <c r="C4" s="88">
        <v>206</v>
      </c>
      <c r="D4" s="121">
        <f t="shared" si="0"/>
        <v>1.4778325123152709E-2</v>
      </c>
      <c r="E4" s="9">
        <v>204</v>
      </c>
      <c r="F4" s="88">
        <v>202</v>
      </c>
      <c r="G4" s="121">
        <f t="shared" si="1"/>
        <v>-9.8039215686274508E-3</v>
      </c>
      <c r="H4" s="9">
        <v>219</v>
      </c>
      <c r="I4" s="88">
        <v>202</v>
      </c>
      <c r="J4" s="121">
        <f t="shared" si="2"/>
        <v>-7.7625570776255703E-2</v>
      </c>
      <c r="K4" s="88">
        <v>208</v>
      </c>
      <c r="L4" s="88">
        <v>196</v>
      </c>
      <c r="M4" s="121">
        <f t="shared" si="3"/>
        <v>-5.7692307692307696E-2</v>
      </c>
    </row>
    <row r="5" spans="1:13" ht="30" customHeight="1">
      <c r="A5" s="41" t="s">
        <v>19</v>
      </c>
      <c r="B5" s="9">
        <v>195</v>
      </c>
      <c r="C5" s="93">
        <v>195</v>
      </c>
      <c r="D5" s="121">
        <f t="shared" si="0"/>
        <v>0</v>
      </c>
      <c r="E5" s="9">
        <v>196</v>
      </c>
      <c r="F5" s="93">
        <v>196</v>
      </c>
      <c r="G5" s="121">
        <f t="shared" si="1"/>
        <v>0</v>
      </c>
      <c r="H5" s="9">
        <v>199</v>
      </c>
      <c r="I5" s="93">
        <v>196</v>
      </c>
      <c r="J5" s="121">
        <f t="shared" si="2"/>
        <v>-1.507537688442211E-2</v>
      </c>
      <c r="K5" s="88">
        <v>198</v>
      </c>
      <c r="L5" s="93">
        <v>202</v>
      </c>
      <c r="M5" s="121">
        <f t="shared" si="3"/>
        <v>2.0202020202020204E-2</v>
      </c>
    </row>
    <row r="6" spans="1:13" ht="30" customHeight="1">
      <c r="A6" s="41" t="s">
        <v>28</v>
      </c>
      <c r="B6" s="9">
        <v>1071</v>
      </c>
      <c r="C6" s="88">
        <v>1258</v>
      </c>
      <c r="D6" s="121">
        <f t="shared" si="0"/>
        <v>0.17460317460317459</v>
      </c>
      <c r="E6" s="9">
        <v>898</v>
      </c>
      <c r="F6" s="88">
        <f>1398*0.9</f>
        <v>1258.2</v>
      </c>
      <c r="G6" s="121">
        <f t="shared" si="1"/>
        <v>0.40111358574610251</v>
      </c>
      <c r="H6" s="9">
        <v>713</v>
      </c>
      <c r="I6" s="88">
        <v>1189</v>
      </c>
      <c r="J6" s="121">
        <f t="shared" si="2"/>
        <v>0.667601683029453</v>
      </c>
      <c r="K6" s="88">
        <v>1189</v>
      </c>
      <c r="L6" s="88">
        <v>1189</v>
      </c>
      <c r="M6" s="121">
        <f t="shared" si="3"/>
        <v>0</v>
      </c>
    </row>
    <row r="7" spans="1:13" ht="30" customHeight="1" thickBot="1">
      <c r="A7" s="41" t="s">
        <v>33</v>
      </c>
      <c r="B7" s="9">
        <v>158</v>
      </c>
      <c r="C7" s="113">
        <v>175</v>
      </c>
      <c r="D7" s="121">
        <f t="shared" si="0"/>
        <v>0.10759493670886076</v>
      </c>
      <c r="E7" s="9">
        <v>238</v>
      </c>
      <c r="F7" s="113">
        <v>165</v>
      </c>
      <c r="G7" s="121">
        <f t="shared" si="1"/>
        <v>-0.30672268907563027</v>
      </c>
      <c r="H7" s="9">
        <v>249</v>
      </c>
      <c r="I7" s="113">
        <v>169</v>
      </c>
      <c r="J7" s="121">
        <f t="shared" si="2"/>
        <v>-0.32128514056224899</v>
      </c>
      <c r="K7" s="88">
        <v>197</v>
      </c>
      <c r="L7" s="113">
        <v>183</v>
      </c>
      <c r="M7" s="121">
        <f t="shared" si="3"/>
        <v>-7.1065989847715741E-2</v>
      </c>
    </row>
    <row r="8" spans="1:13" ht="30" customHeight="1">
      <c r="A8" s="41" t="s">
        <v>41</v>
      </c>
      <c r="B8" s="9">
        <v>477</v>
      </c>
      <c r="C8" s="88">
        <v>397</v>
      </c>
      <c r="D8" s="121">
        <f t="shared" si="0"/>
        <v>-0.16771488469601678</v>
      </c>
      <c r="E8" s="9">
        <v>478</v>
      </c>
      <c r="F8" s="88" t="s">
        <v>13</v>
      </c>
      <c r="G8" s="121"/>
      <c r="H8" s="9">
        <v>499</v>
      </c>
      <c r="I8" s="88">
        <v>452</v>
      </c>
      <c r="J8" s="121">
        <f t="shared" si="2"/>
        <v>-9.4188376753507011E-2</v>
      </c>
      <c r="K8" s="88">
        <v>497</v>
      </c>
      <c r="L8" s="88">
        <v>451</v>
      </c>
      <c r="M8" s="121">
        <f t="shared" si="3"/>
        <v>-9.2555331991951706E-2</v>
      </c>
    </row>
    <row r="9" spans="1:13" ht="30" customHeight="1">
      <c r="A9" s="41" t="s">
        <v>44</v>
      </c>
      <c r="B9" s="9">
        <v>198</v>
      </c>
      <c r="C9" s="88">
        <v>219</v>
      </c>
      <c r="D9" s="121">
        <f t="shared" si="0"/>
        <v>0.10606060606060606</v>
      </c>
      <c r="E9" s="9">
        <v>299</v>
      </c>
      <c r="F9" s="88">
        <v>228</v>
      </c>
      <c r="G9" s="121">
        <f t="shared" si="1"/>
        <v>-0.23745819397993312</v>
      </c>
      <c r="H9" s="9">
        <v>349</v>
      </c>
      <c r="I9" s="88">
        <v>224</v>
      </c>
      <c r="J9" s="121">
        <f t="shared" si="2"/>
        <v>-0.35816618911174786</v>
      </c>
      <c r="K9" s="88">
        <v>347</v>
      </c>
      <c r="L9" s="88">
        <v>375</v>
      </c>
      <c r="M9" s="121">
        <f t="shared" si="3"/>
        <v>8.069164265129683E-2</v>
      </c>
    </row>
    <row r="10" spans="1:13" ht="30" customHeight="1">
      <c r="A10" s="41" t="s">
        <v>42</v>
      </c>
      <c r="B10" s="9" t="s">
        <v>13</v>
      </c>
      <c r="C10" s="88">
        <f>468/0.2</f>
        <v>2340</v>
      </c>
      <c r="D10" s="121"/>
      <c r="E10" s="9" t="s">
        <v>43</v>
      </c>
      <c r="F10" s="88">
        <v>2646</v>
      </c>
      <c r="G10" s="121"/>
      <c r="H10" s="9">
        <v>1897</v>
      </c>
      <c r="I10" s="88">
        <f>486/0.3</f>
        <v>1620</v>
      </c>
      <c r="J10" s="121">
        <f t="shared" si="2"/>
        <v>-0.14602003162888771</v>
      </c>
      <c r="K10" s="88">
        <v>1897</v>
      </c>
      <c r="L10" s="88">
        <f>486/0.3</f>
        <v>1620</v>
      </c>
      <c r="M10" s="121">
        <f t="shared" si="3"/>
        <v>-0.14602003162888771</v>
      </c>
    </row>
    <row r="11" spans="1:13" ht="30" customHeight="1" thickBot="1">
      <c r="A11" s="41" t="s">
        <v>45</v>
      </c>
      <c r="B11" s="9">
        <v>325</v>
      </c>
      <c r="C11" s="113">
        <v>298</v>
      </c>
      <c r="D11" s="121">
        <f t="shared" si="0"/>
        <v>-8.3076923076923076E-2</v>
      </c>
      <c r="E11" s="9">
        <v>326</v>
      </c>
      <c r="F11" s="113">
        <v>299</v>
      </c>
      <c r="G11" s="121">
        <f t="shared" si="1"/>
        <v>-8.2822085889570546E-2</v>
      </c>
      <c r="H11" s="9">
        <v>329</v>
      </c>
      <c r="I11" s="113">
        <v>329</v>
      </c>
      <c r="J11" s="121">
        <f t="shared" si="2"/>
        <v>0</v>
      </c>
      <c r="K11" s="88" t="s">
        <v>17</v>
      </c>
      <c r="L11" s="113">
        <v>329</v>
      </c>
      <c r="M11" s="121"/>
    </row>
    <row r="12" spans="1:13" ht="30" customHeight="1">
      <c r="A12" s="41" t="s">
        <v>38</v>
      </c>
      <c r="B12" s="9">
        <v>325</v>
      </c>
      <c r="C12" s="88">
        <v>295</v>
      </c>
      <c r="D12" s="121">
        <f t="shared" si="0"/>
        <v>-9.2307692307692313E-2</v>
      </c>
      <c r="E12" s="9">
        <v>326</v>
      </c>
      <c r="F12" s="88">
        <v>296</v>
      </c>
      <c r="G12" s="121">
        <f t="shared" si="1"/>
        <v>-9.202453987730061E-2</v>
      </c>
      <c r="H12" s="9">
        <v>299</v>
      </c>
      <c r="I12" s="88">
        <v>309</v>
      </c>
      <c r="J12" s="121">
        <f t="shared" si="2"/>
        <v>3.3444816053511704E-2</v>
      </c>
      <c r="K12" s="88">
        <v>397</v>
      </c>
      <c r="L12" s="88">
        <v>299</v>
      </c>
      <c r="M12" s="121">
        <f t="shared" si="3"/>
        <v>-0.24685138539042822</v>
      </c>
    </row>
    <row r="13" spans="1:13" ht="30" customHeight="1">
      <c r="A13" s="41" t="s">
        <v>49</v>
      </c>
      <c r="B13" s="9">
        <v>169</v>
      </c>
      <c r="C13" s="103">
        <v>179</v>
      </c>
      <c r="D13" s="121">
        <f t="shared" si="0"/>
        <v>5.9171597633136092E-2</v>
      </c>
      <c r="E13" s="9">
        <v>245</v>
      </c>
      <c r="F13" s="103">
        <f>203/0.77</f>
        <v>263.63636363636363</v>
      </c>
      <c r="G13" s="121">
        <f t="shared" si="1"/>
        <v>7.606679035250459E-2</v>
      </c>
      <c r="H13" s="9">
        <v>310</v>
      </c>
      <c r="I13" s="103">
        <v>257</v>
      </c>
      <c r="J13" s="121">
        <f t="shared" si="2"/>
        <v>-0.17096774193548386</v>
      </c>
      <c r="K13" s="88">
        <v>288</v>
      </c>
      <c r="L13" s="103">
        <v>330</v>
      </c>
      <c r="M13" s="121">
        <f t="shared" si="3"/>
        <v>0.14583333333333334</v>
      </c>
    </row>
    <row r="14" spans="1:13" ht="30" customHeight="1">
      <c r="A14" s="41" t="s">
        <v>48</v>
      </c>
      <c r="B14" s="9" t="s">
        <v>13</v>
      </c>
      <c r="C14" s="93">
        <v>229</v>
      </c>
      <c r="D14" s="121"/>
      <c r="E14" s="9">
        <v>254</v>
      </c>
      <c r="F14" s="93">
        <v>239</v>
      </c>
      <c r="G14" s="121">
        <f t="shared" si="1"/>
        <v>-5.905511811023622E-2</v>
      </c>
      <c r="H14" s="9">
        <v>290</v>
      </c>
      <c r="I14" s="93">
        <v>255</v>
      </c>
      <c r="J14" s="121">
        <f t="shared" si="2"/>
        <v>-0.1206896551724138</v>
      </c>
      <c r="K14" s="88">
        <v>280</v>
      </c>
      <c r="L14" s="93">
        <v>249</v>
      </c>
      <c r="M14" s="121">
        <f t="shared" si="3"/>
        <v>-0.11071428571428571</v>
      </c>
    </row>
    <row r="15" spans="1:13" ht="30" customHeight="1">
      <c r="A15" s="41" t="s">
        <v>57</v>
      </c>
      <c r="B15" s="9">
        <v>398</v>
      </c>
      <c r="C15" s="88">
        <v>377</v>
      </c>
      <c r="D15" s="121">
        <f t="shared" si="0"/>
        <v>-5.2763819095477386E-2</v>
      </c>
      <c r="E15" s="9">
        <v>400</v>
      </c>
      <c r="F15" s="88">
        <v>378</v>
      </c>
      <c r="G15" s="121">
        <f t="shared" si="1"/>
        <v>-5.5E-2</v>
      </c>
      <c r="H15" s="9">
        <v>380</v>
      </c>
      <c r="I15" s="88">
        <v>380</v>
      </c>
      <c r="J15" s="121">
        <f t="shared" si="2"/>
        <v>0</v>
      </c>
      <c r="K15" s="88">
        <v>396</v>
      </c>
      <c r="L15" s="88">
        <v>396</v>
      </c>
      <c r="M15" s="121">
        <f t="shared" si="3"/>
        <v>0</v>
      </c>
    </row>
    <row r="16" spans="1:13" ht="30" customHeight="1">
      <c r="A16" s="41" t="s">
        <v>176</v>
      </c>
      <c r="B16" s="9">
        <v>1098</v>
      </c>
      <c r="C16" s="88">
        <v>898</v>
      </c>
      <c r="D16" s="121">
        <f t="shared" si="0"/>
        <v>-0.18214936247723132</v>
      </c>
      <c r="E16" s="9">
        <v>937</v>
      </c>
      <c r="F16" s="88">
        <v>798</v>
      </c>
      <c r="G16" s="121">
        <f t="shared" si="1"/>
        <v>-0.14834578441835647</v>
      </c>
      <c r="H16" s="9">
        <v>999</v>
      </c>
      <c r="I16" s="88">
        <v>898</v>
      </c>
      <c r="J16" s="121">
        <f t="shared" si="2"/>
        <v>-0.1011011011011011</v>
      </c>
      <c r="K16" s="88">
        <v>989</v>
      </c>
      <c r="L16" s="88">
        <v>898</v>
      </c>
      <c r="M16" s="121">
        <f t="shared" si="3"/>
        <v>-9.201213346814964E-2</v>
      </c>
    </row>
    <row r="17" spans="1:13" ht="30" customHeight="1">
      <c r="A17" s="41" t="s">
        <v>69</v>
      </c>
      <c r="B17" s="9">
        <v>198</v>
      </c>
      <c r="C17" s="88">
        <v>195</v>
      </c>
      <c r="D17" s="121">
        <f t="shared" si="0"/>
        <v>-1.5151515151515152E-2</v>
      </c>
      <c r="E17" s="9">
        <v>258</v>
      </c>
      <c r="F17" s="88">
        <f>179*2</f>
        <v>358</v>
      </c>
      <c r="G17" s="121">
        <f t="shared" si="1"/>
        <v>0.38759689922480622</v>
      </c>
      <c r="H17" s="9">
        <v>299</v>
      </c>
      <c r="I17" s="88">
        <v>198</v>
      </c>
      <c r="J17" s="121">
        <f t="shared" si="2"/>
        <v>-0.33779264214046822</v>
      </c>
      <c r="K17" s="88">
        <v>299</v>
      </c>
      <c r="L17" s="88">
        <v>198</v>
      </c>
      <c r="M17" s="121">
        <f t="shared" si="3"/>
        <v>-0.33779264214046822</v>
      </c>
    </row>
    <row r="18" spans="1:13" ht="30" customHeight="1" thickBot="1">
      <c r="A18" s="41" t="s">
        <v>77</v>
      </c>
      <c r="B18" s="9">
        <v>108</v>
      </c>
      <c r="C18" s="113" t="s">
        <v>13</v>
      </c>
      <c r="D18" s="121"/>
      <c r="E18" s="9">
        <v>109</v>
      </c>
      <c r="F18" s="113">
        <v>104</v>
      </c>
      <c r="G18" s="121">
        <f t="shared" si="1"/>
        <v>-4.5871559633027525E-2</v>
      </c>
      <c r="H18" s="9">
        <v>115</v>
      </c>
      <c r="I18" s="113">
        <v>109</v>
      </c>
      <c r="J18" s="121">
        <f t="shared" si="2"/>
        <v>-5.2173913043478258E-2</v>
      </c>
      <c r="K18" s="88" t="s">
        <v>13</v>
      </c>
      <c r="L18" s="113">
        <v>109</v>
      </c>
      <c r="M18" s="121"/>
    </row>
    <row r="19" spans="1:13" ht="30" customHeight="1" thickBot="1">
      <c r="A19" s="41" t="s">
        <v>172</v>
      </c>
      <c r="B19" s="9">
        <v>195</v>
      </c>
      <c r="C19" s="113">
        <v>209</v>
      </c>
      <c r="D19" s="121">
        <f t="shared" si="0"/>
        <v>7.179487179487179E-2</v>
      </c>
      <c r="E19" s="9">
        <v>196</v>
      </c>
      <c r="F19" s="113">
        <v>210</v>
      </c>
      <c r="G19" s="121">
        <f t="shared" si="1"/>
        <v>7.1428571428571425E-2</v>
      </c>
      <c r="H19" s="9">
        <v>199</v>
      </c>
      <c r="I19" s="113">
        <v>213</v>
      </c>
      <c r="J19" s="121">
        <f t="shared" si="2"/>
        <v>7.0351758793969849E-2</v>
      </c>
      <c r="K19" s="88">
        <v>199</v>
      </c>
      <c r="L19" s="113">
        <v>211</v>
      </c>
      <c r="M19" s="121">
        <f t="shared" si="3"/>
        <v>6.030150753768844E-2</v>
      </c>
    </row>
    <row r="20" spans="1:13" ht="30" customHeight="1" thickBot="1">
      <c r="A20" s="41" t="s">
        <v>173</v>
      </c>
      <c r="B20" s="9">
        <v>101</v>
      </c>
      <c r="C20" s="113">
        <v>93</v>
      </c>
      <c r="D20" s="121">
        <f t="shared" si="0"/>
        <v>-7.9207920792079209E-2</v>
      </c>
      <c r="E20" s="9">
        <v>102</v>
      </c>
      <c r="F20" s="113">
        <v>94</v>
      </c>
      <c r="G20" s="121">
        <f t="shared" si="1"/>
        <v>-7.8431372549019607E-2</v>
      </c>
      <c r="H20" s="9">
        <v>105</v>
      </c>
      <c r="I20" s="113">
        <v>99</v>
      </c>
      <c r="J20" s="121">
        <f t="shared" si="2"/>
        <v>-5.7142857142857141E-2</v>
      </c>
      <c r="K20" s="88">
        <v>104</v>
      </c>
      <c r="L20" s="113">
        <v>97</v>
      </c>
      <c r="M20" s="121">
        <f t="shared" si="3"/>
        <v>-6.7307692307692304E-2</v>
      </c>
    </row>
    <row r="21" spans="1:13" ht="30" customHeight="1" thickBot="1">
      <c r="A21" s="125" t="s">
        <v>174</v>
      </c>
      <c r="B21" s="126">
        <v>98</v>
      </c>
      <c r="C21" s="113">
        <v>95</v>
      </c>
      <c r="D21" s="127">
        <f t="shared" si="0"/>
        <v>-3.0612244897959183E-2</v>
      </c>
      <c r="E21" s="126">
        <v>99</v>
      </c>
      <c r="F21" s="113">
        <v>108</v>
      </c>
      <c r="G21" s="127">
        <f t="shared" si="1"/>
        <v>9.0909090909090912E-2</v>
      </c>
      <c r="H21" s="126">
        <v>119</v>
      </c>
      <c r="I21" s="113">
        <v>109</v>
      </c>
      <c r="J21" s="127">
        <f t="shared" si="2"/>
        <v>-8.4033613445378158E-2</v>
      </c>
      <c r="K21" s="113">
        <v>118</v>
      </c>
      <c r="L21" s="113">
        <v>108</v>
      </c>
      <c r="M21" s="127">
        <f t="shared" si="3"/>
        <v>-8.4745762711864403E-2</v>
      </c>
    </row>
    <row r="22" spans="1:13">
      <c r="G22" s="122"/>
      <c r="J22" s="122"/>
    </row>
  </sheetData>
  <sortState ref="J4:M6">
    <sortCondition ref="J4:J6"/>
  </sortState>
  <mergeCells count="4">
    <mergeCell ref="B1:D1"/>
    <mergeCell ref="E1:G1"/>
    <mergeCell ref="H1:J1"/>
    <mergeCell ref="K1:M1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3.2.2009</vt:lpstr>
      <vt:lpstr>26.5.2009</vt:lpstr>
      <vt:lpstr>Samanburður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dcterms:created xsi:type="dcterms:W3CDTF">2009-05-29T09:37:54Z</dcterms:created>
  <dcterms:modified xsi:type="dcterms:W3CDTF">2009-06-02T14:31:46Z</dcterms:modified>
</cp:coreProperties>
</file>